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39" firstSheet="2" activeTab="2"/>
  </bookViews>
  <sheets>
    <sheet name="Sheet2" sheetId="1" state="hidden" r:id="rId1"/>
    <sheet name="Tables" sheetId="2" state="hidden" r:id="rId2"/>
    <sheet name="13 Girls" sheetId="3" r:id="rId3"/>
    <sheet name="13 Boys" sheetId="4" r:id="rId4"/>
    <sheet name="15 Girls" sheetId="5" r:id="rId5"/>
    <sheet name="15 Boys" sheetId="6" r:id="rId6"/>
    <sheet name="17 Women" sheetId="7" r:id="rId7"/>
    <sheet name="17 Men" sheetId="8" r:id="rId8"/>
    <sheet name="20 Women" sheetId="9" r:id="rId9"/>
    <sheet name="20 Men " sheetId="10" r:id="rId10"/>
    <sheet name="Sen Women" sheetId="11" r:id="rId11"/>
    <sheet name="Sen Men" sheetId="12" r:id="rId12"/>
    <sheet name="Vet Women" sheetId="13" r:id="rId13"/>
    <sheet name="Vet Men" sheetId="14" r:id="rId14"/>
    <sheet name="Vet throws" sheetId="15" r:id="rId15"/>
    <sheet name="5k and 10k" sheetId="16" r:id="rId16"/>
    <sheet name="Sheet4" sheetId="17" state="hidden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<sst xmlns="http://schemas.openxmlformats.org/spreadsheetml/2006/main" count="1418" uniqueCount="555">
  <si>
    <t>CBP</t>
  </si>
  <si>
    <t>Open</t>
  </si>
  <si>
    <t>Position</t>
  </si>
  <si>
    <t>Discus</t>
  </si>
  <si>
    <t>Javelin</t>
  </si>
  <si>
    <t>OFFSCALE</t>
  </si>
  <si>
    <t>ERR</t>
  </si>
  <si>
    <t>Under 15 Boys Pentathlon</t>
  </si>
  <si>
    <t>Under 15 Girls Pentathlon</t>
  </si>
  <si>
    <t>Name</t>
  </si>
  <si>
    <t>Club</t>
  </si>
  <si>
    <t>wind</t>
  </si>
  <si>
    <t>points</t>
  </si>
  <si>
    <t>total</t>
  </si>
  <si>
    <t>Shot</t>
  </si>
  <si>
    <t>800m</t>
  </si>
  <si>
    <t>80m H</t>
  </si>
  <si>
    <t>L Jump</t>
  </si>
  <si>
    <t>H Jump</t>
  </si>
  <si>
    <t>Score</t>
  </si>
  <si>
    <t>Progression</t>
  </si>
  <si>
    <t>No:</t>
  </si>
  <si>
    <t>time</t>
  </si>
  <si>
    <t>distance</t>
  </si>
  <si>
    <t>height</t>
  </si>
  <si>
    <t>:</t>
  </si>
  <si>
    <t>75m H</t>
  </si>
  <si>
    <t>100m H</t>
  </si>
  <si>
    <t>110m H</t>
  </si>
  <si>
    <t>hand timing</t>
  </si>
  <si>
    <t xml:space="preserve">North Eastern Counties A.A. Open Pentathlon Meeting  </t>
  </si>
  <si>
    <t>(incorporating North Eastern Counties A.A.Championships)</t>
  </si>
  <si>
    <t>Under 17 Men Pentathlon</t>
  </si>
  <si>
    <t>Under 17 Women Pentathlon</t>
  </si>
  <si>
    <t>Under 20 Men Pentathlon</t>
  </si>
  <si>
    <t>Senior Men Pentathlon</t>
  </si>
  <si>
    <t>Senior Women Pentathlon</t>
  </si>
  <si>
    <t>NECAA</t>
  </si>
  <si>
    <t>Girls U1780Meter Hurdles</t>
  </si>
  <si>
    <t>Girls U1575Meter Hurdles</t>
  </si>
  <si>
    <t>GirlsU13 70Meter Hurdles</t>
  </si>
  <si>
    <t>BoysU13 75Meter Hurdles</t>
  </si>
  <si>
    <t>Under 13 Boys Pentathlon</t>
  </si>
  <si>
    <t>Under 13 Girls Pentathlon</t>
  </si>
  <si>
    <t>70m H</t>
  </si>
  <si>
    <t>GirlsU1780MeterHurdles</t>
  </si>
  <si>
    <t>GirlsU1575MeterHurdles</t>
  </si>
  <si>
    <t>Veteran Women Pentathlon</t>
  </si>
  <si>
    <t>Final</t>
  </si>
  <si>
    <t>Vet 45</t>
  </si>
  <si>
    <t>200m</t>
  </si>
  <si>
    <t>Veteran Men Pentathlon</t>
  </si>
  <si>
    <t>Vet 50</t>
  </si>
  <si>
    <t>Time</t>
  </si>
  <si>
    <t>Veteran Men  5k</t>
  </si>
  <si>
    <t>Veteran Women  5k</t>
  </si>
  <si>
    <t>Veteran Men  10k</t>
  </si>
  <si>
    <t>North Shields Poly</t>
  </si>
  <si>
    <t>Mac Stephenson</t>
  </si>
  <si>
    <t>Under 20 Women Pentathlon</t>
  </si>
  <si>
    <t>v 65</t>
  </si>
  <si>
    <t>South Shields Harriers</t>
  </si>
  <si>
    <t>v 70</t>
  </si>
  <si>
    <t>v 35</t>
  </si>
  <si>
    <t>Tyne Bridge Harriers</t>
  </si>
  <si>
    <t>v 40</t>
  </si>
  <si>
    <t>Elswick Harriers</t>
  </si>
  <si>
    <t>v 45</t>
  </si>
  <si>
    <t>v 50</t>
  </si>
  <si>
    <t>v 55</t>
  </si>
  <si>
    <t>Graham Leslie</t>
  </si>
  <si>
    <t>using Junior Boys 800 scoring tables</t>
  </si>
  <si>
    <t>Meeting Record</t>
  </si>
  <si>
    <t>Beth Pringle (Gateshead Harriers) 2012</t>
  </si>
  <si>
    <t>Josh Philipson (Blaydon Harriers) 2010</t>
  </si>
  <si>
    <t>Jack Crosby (Middlesbrough AC) 2011</t>
  </si>
  <si>
    <t>Alan Readman (Houghton Harriers) 2011</t>
  </si>
  <si>
    <t>Joseph Purvis (Gateshead Harriers)2013</t>
  </si>
  <si>
    <t>Rachel Scott (Houghton Harriers) 2013</t>
  </si>
  <si>
    <t>Low Fell RC</t>
  </si>
  <si>
    <t>Houghton Harriers</t>
  </si>
  <si>
    <t>Vet 40</t>
  </si>
  <si>
    <t>Vet 35</t>
  </si>
  <si>
    <t>Vet 55</t>
  </si>
  <si>
    <t>Vet 60</t>
  </si>
  <si>
    <t>Archie Jenkins</t>
  </si>
  <si>
    <t>Morpeth Harriers</t>
  </si>
  <si>
    <t>Hammer</t>
  </si>
  <si>
    <t>Weight</t>
  </si>
  <si>
    <t>Vet 65</t>
  </si>
  <si>
    <t>Harry Matthews</t>
  </si>
  <si>
    <t>Steve Eccleston</t>
  </si>
  <si>
    <t>Bill Doidge</t>
  </si>
  <si>
    <t>John James</t>
  </si>
  <si>
    <t>Terry Hudson (Jarrow &amp; Hebburn) 2014</t>
  </si>
  <si>
    <t>Stephanie Driscoll (Kendal AAC) 2014</t>
  </si>
  <si>
    <t>Sophie Bronze (Gateshead Harr.) 2014</t>
  </si>
  <si>
    <t>Oliver Whellans (Chester le Street) 2014</t>
  </si>
  <si>
    <t>Rachael Coar (Durham City Harr.) 2012</t>
  </si>
  <si>
    <t>Rebecca Lister</t>
  </si>
  <si>
    <t>Leeds City</t>
  </si>
  <si>
    <t>Darlington Harriers</t>
  </si>
  <si>
    <t>Adam Cowperthwaite</t>
  </si>
  <si>
    <t>Blyth Running Club</t>
  </si>
  <si>
    <t>Veteran Throws Pentathlon</t>
  </si>
  <si>
    <t xml:space="preserve">North East Masters A.A.  Pentathlon Championships </t>
  </si>
  <si>
    <t>(incorporating the North East Masters A.A. 5,000m and 10,000m Championships)</t>
  </si>
  <si>
    <t>Veteran Ladies  10k</t>
  </si>
  <si>
    <t>NEMAA</t>
  </si>
  <si>
    <t>Paul Brennan</t>
  </si>
  <si>
    <t>Michael Jones</t>
  </si>
  <si>
    <t>Garry Hehir</t>
  </si>
  <si>
    <t>Mark McNally</t>
  </si>
  <si>
    <t>Alan Wilks</t>
  </si>
  <si>
    <t>Brian Brown</t>
  </si>
  <si>
    <t>Paul Bentley</t>
  </si>
  <si>
    <t>v 80</t>
  </si>
  <si>
    <t>Ian Barnes</t>
  </si>
  <si>
    <t>Guest</t>
  </si>
  <si>
    <t>Helen A Morris</t>
  </si>
  <si>
    <t>24th September 2016  Monkton Stadium, Jarrow</t>
  </si>
  <si>
    <t>Stephanie Driscoll (Kendal A.A.C.) 2015</t>
  </si>
  <si>
    <t>Calum Storey</t>
  </si>
  <si>
    <t>Henry Madden</t>
  </si>
  <si>
    <t>Tyrone Murphy</t>
  </si>
  <si>
    <t>Heather Barrass</t>
  </si>
  <si>
    <t>Helene Pratt</t>
  </si>
  <si>
    <t>Finlay Telfer</t>
  </si>
  <si>
    <t>Alnwick Harriers</t>
  </si>
  <si>
    <t>Joseph Sawyer</t>
  </si>
  <si>
    <t>Nathaniel Bell</t>
  </si>
  <si>
    <t>George Peacock</t>
  </si>
  <si>
    <t>Thomas Paterson</t>
  </si>
  <si>
    <t>Luke Dawson</t>
  </si>
  <si>
    <t>Morgan Williams</t>
  </si>
  <si>
    <t>Jack Stanaway</t>
  </si>
  <si>
    <t>Aidan Brindley</t>
  </si>
  <si>
    <t>Sam Coupland</t>
  </si>
  <si>
    <t>Louis Morrison</t>
  </si>
  <si>
    <t>Charlie Daley</t>
  </si>
  <si>
    <t>Aaliyah Peacock</t>
  </si>
  <si>
    <t>Jarrow &amp; Hebburn</t>
  </si>
  <si>
    <t>Tynedale Harriers</t>
  </si>
  <si>
    <t>Carlisle Aspatria</t>
  </si>
  <si>
    <t>Leeds City AC</t>
  </si>
  <si>
    <t>North Ayrshire AC</t>
  </si>
  <si>
    <t>Southport Waterloo AC</t>
  </si>
  <si>
    <t>Trafford AC</t>
  </si>
  <si>
    <t>Archie Marston</t>
  </si>
  <si>
    <t>Iona Richings</t>
  </si>
  <si>
    <t>Hannah Scarborough (Gateshead Harr) 2015</t>
  </si>
  <si>
    <t>Courtney Madden</t>
  </si>
  <si>
    <t>Amelia Fairhurst</t>
  </si>
  <si>
    <t>Marli Graham</t>
  </si>
  <si>
    <t>Kosi Izuora</t>
  </si>
  <si>
    <t>Charlotte Rutter</t>
  </si>
  <si>
    <t>Ava Taperell</t>
  </si>
  <si>
    <t>Amy Lott</t>
  </si>
  <si>
    <t>Libby Currie</t>
  </si>
  <si>
    <t>Millie Pentland</t>
  </si>
  <si>
    <t>Evie Perrett</t>
  </si>
  <si>
    <t>Freya Robinson</t>
  </si>
  <si>
    <t>Charlotte Devitt</t>
  </si>
  <si>
    <t>Kate Smith</t>
  </si>
  <si>
    <t>Ella Rush</t>
  </si>
  <si>
    <t>Julia Winogrodzka</t>
  </si>
  <si>
    <t>Emma Kendal</t>
  </si>
  <si>
    <t>Amy Carr</t>
  </si>
  <si>
    <t>Katie Burr</t>
  </si>
  <si>
    <t>Erin Lobley</t>
  </si>
  <si>
    <t>Carys Dickson</t>
  </si>
  <si>
    <t>Kiikii Brown</t>
  </si>
  <si>
    <t>Emily Baxter</t>
  </si>
  <si>
    <t>Brooke Steel</t>
  </si>
  <si>
    <t>Millie Breese</t>
  </si>
  <si>
    <t>Birtley AC</t>
  </si>
  <si>
    <t>Chester-le-Street</t>
  </si>
  <si>
    <t>Gateshead Harriers</t>
  </si>
  <si>
    <t>Gateshead Harriers &amp; AC</t>
  </si>
  <si>
    <t>New Marske Harriers</t>
  </si>
  <si>
    <t>Amber Valley</t>
  </si>
  <si>
    <t>Bolton United Harriers</t>
  </si>
  <si>
    <t>Central Athletics</t>
  </si>
  <si>
    <t>Hallamshire Harriers</t>
  </si>
  <si>
    <t>Harrogate Harriers</t>
  </si>
  <si>
    <t xml:space="preserve">Leeds City </t>
  </si>
  <si>
    <t>Skyrac AC</t>
  </si>
  <si>
    <t>Unattached</t>
  </si>
  <si>
    <t>Oliver Telfer</t>
  </si>
  <si>
    <t>Sam Gorman</t>
  </si>
  <si>
    <t>Dale Turner</t>
  </si>
  <si>
    <t>Tom Lightfoot</t>
  </si>
  <si>
    <t>Issac Rushworth</t>
  </si>
  <si>
    <t>Matthew Phillips</t>
  </si>
  <si>
    <t>Daniel Brazukas</t>
  </si>
  <si>
    <t>Tyler  Harcourt</t>
  </si>
  <si>
    <t>Scott Brindley</t>
  </si>
  <si>
    <t>Connor Splevins</t>
  </si>
  <si>
    <t>Hannah Ross-Knight</t>
  </si>
  <si>
    <t>Grace Rowe</t>
  </si>
  <si>
    <t>Grace McGlone</t>
  </si>
  <si>
    <t>Hannah Wallace</t>
  </si>
  <si>
    <t>Jasmine Sharp</t>
  </si>
  <si>
    <t>Isabelle Potier Godinho</t>
  </si>
  <si>
    <t>Rachel Caygill</t>
  </si>
  <si>
    <t>Rachel Hunter</t>
  </si>
  <si>
    <t>Nadia Dawson</t>
  </si>
  <si>
    <t>Leah Atack</t>
  </si>
  <si>
    <t>Megan Taylor</t>
  </si>
  <si>
    <t>Isabelle Jackson</t>
  </si>
  <si>
    <t>Alicia Marriot</t>
  </si>
  <si>
    <t>Ella Seaborne</t>
  </si>
  <si>
    <t>Annabel Robson</t>
  </si>
  <si>
    <t>Elizabeth Robson</t>
  </si>
  <si>
    <t>Megan Winter</t>
  </si>
  <si>
    <t>Megan Tipper</t>
  </si>
  <si>
    <t>Ruby Whitney</t>
  </si>
  <si>
    <t>Jordan Thrower</t>
  </si>
  <si>
    <t>Melissa Coxon</t>
  </si>
  <si>
    <t>Aimee Barlow</t>
  </si>
  <si>
    <t>Isabella Binks</t>
  </si>
  <si>
    <t>Chester-le Street</t>
  </si>
  <si>
    <t>Cumbernauld AAC</t>
  </si>
  <si>
    <t>Law &amp; District AC</t>
  </si>
  <si>
    <t>Longwood Harriers</t>
  </si>
  <si>
    <t>Middlesbrough Mandale</t>
  </si>
  <si>
    <t>Rotherham Harriers</t>
  </si>
  <si>
    <t>Sedgefield Harriers</t>
  </si>
  <si>
    <t>Blaydon Harriers</t>
  </si>
  <si>
    <t>City of Sheffield &amp; Dearne</t>
  </si>
  <si>
    <t>Oliver Herring</t>
  </si>
  <si>
    <t>Joe Halpin</t>
  </si>
  <si>
    <t>Thomas Bowdon</t>
  </si>
  <si>
    <t>Luke Carroll</t>
  </si>
  <si>
    <t>Chloe Barrass</t>
  </si>
  <si>
    <t>Stella Jones</t>
  </si>
  <si>
    <t>Amelia Bateman</t>
  </si>
  <si>
    <t>Nicola Caygill</t>
  </si>
  <si>
    <t>Georgina Youlden</t>
  </si>
  <si>
    <t>Charlotte Youlden</t>
  </si>
  <si>
    <t>Hollie Smith</t>
  </si>
  <si>
    <t>Sian Horrex</t>
  </si>
  <si>
    <t>Alex Bunclarke</t>
  </si>
  <si>
    <t>Jasmine Clark</t>
  </si>
  <si>
    <t>Ellie Hewitt</t>
  </si>
  <si>
    <t>Jess Young-Rogers</t>
  </si>
  <si>
    <t>Nicole McIlvaney</t>
  </si>
  <si>
    <t>Emily Race</t>
  </si>
  <si>
    <t>Harriet Priest</t>
  </si>
  <si>
    <t>Liverpool Pembroke &amp; Sefton</t>
  </si>
  <si>
    <t>South Shields</t>
  </si>
  <si>
    <t>Worksop Harriers</t>
  </si>
  <si>
    <t>Chloe Smith</t>
  </si>
  <si>
    <t>Max Pentith</t>
  </si>
  <si>
    <t>Rory Holden</t>
  </si>
  <si>
    <t>Nicola Woodward</t>
  </si>
  <si>
    <t>Sunderland Harriers</t>
  </si>
  <si>
    <t>Crook &amp; District</t>
  </si>
  <si>
    <t>Liz Page</t>
  </si>
  <si>
    <t>Lynn Marr</t>
  </si>
  <si>
    <t>Diane Wood</t>
  </si>
  <si>
    <t>Stephanie White</t>
  </si>
  <si>
    <t>Richard Baker</t>
  </si>
  <si>
    <t>Darren Fairclough</t>
  </si>
  <si>
    <t>Paul Donaghy</t>
  </si>
  <si>
    <t>Durham City</t>
  </si>
  <si>
    <t>Geoff Hewitson</t>
  </si>
  <si>
    <t>Alan Readman</t>
  </si>
  <si>
    <t>George Cawkwell</t>
  </si>
  <si>
    <t>Men Vet 50</t>
  </si>
  <si>
    <t>Wallsend Harriers</t>
  </si>
  <si>
    <t>Paul Corrigan</t>
  </si>
  <si>
    <t>Stuart Ryan</t>
  </si>
  <si>
    <t>Kelly Bentley</t>
  </si>
  <si>
    <t>Kirstin Farquhar</t>
  </si>
  <si>
    <t>Leanne Robertson</t>
  </si>
  <si>
    <t>Stephanie Young</t>
  </si>
  <si>
    <t>Kim Matthews</t>
  </si>
  <si>
    <t>Janette Kilgour</t>
  </si>
  <si>
    <t>Ben Hull</t>
  </si>
  <si>
    <t>George Routledge</t>
  </si>
  <si>
    <t>Reg Checkly</t>
  </si>
  <si>
    <t>v 75</t>
  </si>
  <si>
    <t>Heaton Harriers</t>
  </si>
  <si>
    <t>Aycliffe</t>
  </si>
  <si>
    <t>Claremont</t>
  </si>
  <si>
    <t>Birtley</t>
  </si>
  <si>
    <t>Alasdair Bain</t>
  </si>
  <si>
    <t>Steven Medd</t>
  </si>
  <si>
    <t>Chris Waite</t>
  </si>
  <si>
    <t>Stuart Dickson</t>
  </si>
  <si>
    <t>Barry Murray</t>
  </si>
  <si>
    <t>Colin Hodgson</t>
  </si>
  <si>
    <t>Ean Parsons</t>
  </si>
  <si>
    <t>Paul Routeledge</t>
  </si>
  <si>
    <t>Andy Burn</t>
  </si>
  <si>
    <t>North Shiels Poly</t>
  </si>
  <si>
    <t>Blackhill Bounders</t>
  </si>
  <si>
    <t>Jarrow &amp; Hebburb</t>
  </si>
  <si>
    <t>Anne Craddock</t>
  </si>
  <si>
    <t>Richard Kaufman (Gateshead Harr) 2013</t>
  </si>
  <si>
    <t>1-1-1-1-1</t>
  </si>
  <si>
    <t>v 60</t>
  </si>
  <si>
    <t>Sarah Wilcock</t>
  </si>
  <si>
    <t>Pam Gardener</t>
  </si>
  <si>
    <t>Women Vet 55</t>
  </si>
  <si>
    <t>NJ</t>
  </si>
  <si>
    <t>20:12.4</t>
  </si>
  <si>
    <t>20:39.1</t>
  </si>
  <si>
    <t>20:44.8</t>
  </si>
  <si>
    <t>20:49.5</t>
  </si>
  <si>
    <t>21:17.8</t>
  </si>
  <si>
    <t>21:43.6</t>
  </si>
  <si>
    <t>21:52.6</t>
  </si>
  <si>
    <t>21:58.0</t>
  </si>
  <si>
    <t>22:13.1</t>
  </si>
  <si>
    <t>23:06.9</t>
  </si>
  <si>
    <t>23:09.4</t>
  </si>
  <si>
    <t>23:22.7</t>
  </si>
  <si>
    <t>24:24.9</t>
  </si>
  <si>
    <t>25:16.1</t>
  </si>
  <si>
    <t>25:59.8</t>
  </si>
  <si>
    <t>26:40.3</t>
  </si>
  <si>
    <t>28:26.3</t>
  </si>
  <si>
    <t>30:27.7</t>
  </si>
  <si>
    <t>32:32.2</t>
  </si>
  <si>
    <t>41.18</t>
  </si>
  <si>
    <t>17.46</t>
  </si>
  <si>
    <t>10.12</t>
  </si>
  <si>
    <t>2-2-2-3-3</t>
  </si>
  <si>
    <t>3-3-3-2-2</t>
  </si>
  <si>
    <t>DNS</t>
  </si>
  <si>
    <t>48:41.8</t>
  </si>
  <si>
    <t>53:43.5</t>
  </si>
  <si>
    <t>32:31.1</t>
  </si>
  <si>
    <t>35:31.3</t>
  </si>
  <si>
    <t>36:43.6</t>
  </si>
  <si>
    <t>38:15.7</t>
  </si>
  <si>
    <t>39:00.2</t>
  </si>
  <si>
    <t>39:46.9</t>
  </si>
  <si>
    <t>40:24.0</t>
  </si>
  <si>
    <t>41:24.7</t>
  </si>
  <si>
    <t>44:43.7</t>
  </si>
  <si>
    <t>45:22.5</t>
  </si>
  <si>
    <t>45:42.7</t>
  </si>
  <si>
    <t>46:24.1</t>
  </si>
  <si>
    <t>49:53.9</t>
  </si>
  <si>
    <t>59:08.1</t>
  </si>
  <si>
    <t>07.4</t>
  </si>
  <si>
    <t>30.0</t>
  </si>
  <si>
    <t>2-2-2-2-2</t>
  </si>
  <si>
    <t>38.4</t>
  </si>
  <si>
    <t>55.2</t>
  </si>
  <si>
    <t>15.5</t>
  </si>
  <si>
    <t>27.0</t>
  </si>
  <si>
    <t>24.6</t>
  </si>
  <si>
    <t>44.1</t>
  </si>
  <si>
    <t>3-2-2-1-1</t>
  </si>
  <si>
    <t>2-1-1-2-2</t>
  </si>
  <si>
    <t>1-3-3-3-3</t>
  </si>
  <si>
    <t>6-6-4-4-4</t>
  </si>
  <si>
    <t>5-5-6-5-5</t>
  </si>
  <si>
    <t>4-4-5-6-6</t>
  </si>
  <si>
    <t>52.6</t>
  </si>
  <si>
    <t>06.3</t>
  </si>
  <si>
    <t>44.3</t>
  </si>
  <si>
    <t>51.1</t>
  </si>
  <si>
    <t>32.8</t>
  </si>
  <si>
    <t>39.1</t>
  </si>
  <si>
    <t>2-1-1-1-1</t>
  </si>
  <si>
    <t>5-3-3-3-2</t>
  </si>
  <si>
    <t>1-2-2-2-3</t>
  </si>
  <si>
    <t>6-6-4-5-4</t>
  </si>
  <si>
    <t>4-4-5-4-5</t>
  </si>
  <si>
    <t>3-5-6-6-6</t>
  </si>
  <si>
    <t>43.1</t>
  </si>
  <si>
    <t>51.9</t>
  </si>
  <si>
    <t>56.6</t>
  </si>
  <si>
    <t>57.2</t>
  </si>
  <si>
    <t>57.6</t>
  </si>
  <si>
    <t>57.8</t>
  </si>
  <si>
    <t>58.0</t>
  </si>
  <si>
    <t>01.9</t>
  </si>
  <si>
    <t>04.0</t>
  </si>
  <si>
    <t>12.7</t>
  </si>
  <si>
    <t>15.1</t>
  </si>
  <si>
    <t>20.9</t>
  </si>
  <si>
    <t>36.8</t>
  </si>
  <si>
    <t>21.7</t>
  </si>
  <si>
    <t>38.6</t>
  </si>
  <si>
    <t>38.7</t>
  </si>
  <si>
    <t>42.8</t>
  </si>
  <si>
    <t>45.3</t>
  </si>
  <si>
    <t>47.0</t>
  </si>
  <si>
    <t>50.6</t>
  </si>
  <si>
    <t>09.8</t>
  </si>
  <si>
    <t>14.4</t>
  </si>
  <si>
    <t>19.3</t>
  </si>
  <si>
    <t>5-3-1-1-1</t>
  </si>
  <si>
    <t>8-8-9-8-2</t>
  </si>
  <si>
    <t>3-4-4-3-3</t>
  </si>
  <si>
    <t>11-2-2-2-4</t>
  </si>
  <si>
    <t>8-6-6-5-5</t>
  </si>
  <si>
    <t>3-1-3-4-6</t>
  </si>
  <si>
    <t>2-5-5-6-7</t>
  </si>
  <si>
    <t>12-7-8-7-8</t>
  </si>
  <si>
    <t>6-11-7-9-9</t>
  </si>
  <si>
    <t>1-10-10-10-10</t>
  </si>
  <si>
    <t>18-16-17-16-11</t>
  </si>
  <si>
    <t>12-13-13-13-12</t>
  </si>
  <si>
    <t>20-19-15-14-13</t>
  </si>
  <si>
    <t>6-12-11-11-14</t>
  </si>
  <si>
    <t>17-15-12-12-15</t>
  </si>
  <si>
    <t>8-9-16-15-16</t>
  </si>
  <si>
    <t>12-17-19-18-17</t>
  </si>
  <si>
    <t>15-18-18-19-18</t>
  </si>
  <si>
    <t>22-20-20-17-19</t>
  </si>
  <si>
    <t>21-22-22-20-20</t>
  </si>
  <si>
    <t>19-21-21-21-21</t>
  </si>
  <si>
    <t>23-23-23-23-22</t>
  </si>
  <si>
    <t>25-24-26-24-23</t>
  </si>
  <si>
    <t>16-14-14-22-24</t>
  </si>
  <si>
    <t>26-26-25-26-25</t>
  </si>
  <si>
    <t>24-25-24-25-26</t>
  </si>
  <si>
    <t>31.5</t>
  </si>
  <si>
    <t>31.9</t>
  </si>
  <si>
    <t>33.3</t>
  </si>
  <si>
    <t>34.0</t>
  </si>
  <si>
    <t>34.2</t>
  </si>
  <si>
    <t>37.4</t>
  </si>
  <si>
    <t>41.4</t>
  </si>
  <si>
    <t>47.2</t>
  </si>
  <si>
    <t>49.1</t>
  </si>
  <si>
    <t>09.7</t>
  </si>
  <si>
    <t>18.3</t>
  </si>
  <si>
    <t>22.7</t>
  </si>
  <si>
    <t>1-1-1-2-2</t>
  </si>
  <si>
    <t>2-3-3-3-3</t>
  </si>
  <si>
    <t>6-5-4-4-4</t>
  </si>
  <si>
    <t>4-4-5-5-5</t>
  </si>
  <si>
    <t>5-6-6-6-6</t>
  </si>
  <si>
    <t>7-7-7-7-7</t>
  </si>
  <si>
    <t>9-9-8-8-8</t>
  </si>
  <si>
    <t>8-8-9-9-9</t>
  </si>
  <si>
    <t>12-12-11-10-10</t>
  </si>
  <si>
    <t>11-11-10-11-11</t>
  </si>
  <si>
    <t>10-10-12-12-12</t>
  </si>
  <si>
    <t>13-13-13-13-13</t>
  </si>
  <si>
    <t>42.2</t>
  </si>
  <si>
    <t>43.2</t>
  </si>
  <si>
    <t>47.5</t>
  </si>
  <si>
    <t>50.4</t>
  </si>
  <si>
    <t>51.6</t>
  </si>
  <si>
    <t>54.8</t>
  </si>
  <si>
    <t>56.0</t>
  </si>
  <si>
    <t>17.3</t>
  </si>
  <si>
    <t>19.2</t>
  </si>
  <si>
    <t>25.0</t>
  </si>
  <si>
    <t>28.8</t>
  </si>
  <si>
    <t>36.6</t>
  </si>
  <si>
    <t>30.7</t>
  </si>
  <si>
    <t>33.7</t>
  </si>
  <si>
    <t>35.7</t>
  </si>
  <si>
    <t>44.9</t>
  </si>
  <si>
    <t>48.8</t>
  </si>
  <si>
    <t>51.8</t>
  </si>
  <si>
    <t>53.4</t>
  </si>
  <si>
    <t>57.3</t>
  </si>
  <si>
    <t>DNF</t>
  </si>
  <si>
    <t>11-5-1-1-1</t>
  </si>
  <si>
    <t>1-1-3-2-2</t>
  </si>
  <si>
    <t>3-7-4-5-3</t>
  </si>
  <si>
    <t>3-2-2-3-4</t>
  </si>
  <si>
    <t>12-12-8-8-5</t>
  </si>
  <si>
    <t>7-3-5-6-6</t>
  </si>
  <si>
    <t>9-11-7-7-7</t>
  </si>
  <si>
    <t>3-10-12-10-8</t>
  </si>
  <si>
    <t>9-6-9-8-9</t>
  </si>
  <si>
    <t>6-8-11-12-10</t>
  </si>
  <si>
    <t>8-9-13-14-11</t>
  </si>
  <si>
    <t>2-4-6-4-12</t>
  </si>
  <si>
    <t>17-13-10-11-13</t>
  </si>
  <si>
    <t>18-19-15-16-14</t>
  </si>
  <si>
    <t>15-18-19-19-15</t>
  </si>
  <si>
    <t>12-14-16-13-16</t>
  </si>
  <si>
    <t>20-21-20-18-17</t>
  </si>
  <si>
    <t>21-17-14-15-18</t>
  </si>
  <si>
    <t>12-15-17-20-19</t>
  </si>
  <si>
    <t>18-20-21-21-20</t>
  </si>
  <si>
    <t>22-16-18-17-21</t>
  </si>
  <si>
    <t>16-22-22-22-22</t>
  </si>
  <si>
    <t>23-23-23-23-23</t>
  </si>
  <si>
    <t>26.0</t>
  </si>
  <si>
    <t>27.3</t>
  </si>
  <si>
    <t>31.8</t>
  </si>
  <si>
    <t>34.1</t>
  </si>
  <si>
    <t>36.7</t>
  </si>
  <si>
    <t>41.2</t>
  </si>
  <si>
    <t>56.1</t>
  </si>
  <si>
    <t>20.3</t>
  </si>
  <si>
    <t>4-3-3-2-2</t>
  </si>
  <si>
    <t>3-4-4-4-3</t>
  </si>
  <si>
    <t>4-5-5-5-4</t>
  </si>
  <si>
    <t>1-2-2-3-5</t>
  </si>
  <si>
    <t>6-6-6-6-6</t>
  </si>
  <si>
    <t>9-8-8-7-7</t>
  </si>
  <si>
    <t>8-9-9-9-8</t>
  </si>
  <si>
    <t>7-7-7-8-9</t>
  </si>
  <si>
    <t>10-10-10-10-10</t>
  </si>
  <si>
    <t>MR</t>
  </si>
  <si>
    <t>19.8</t>
  </si>
  <si>
    <t>28.1</t>
  </si>
  <si>
    <t>28.5</t>
  </si>
  <si>
    <t>34.5</t>
  </si>
  <si>
    <t>34.9</t>
  </si>
  <si>
    <t>30.1</t>
  </si>
  <si>
    <t>03.3</t>
  </si>
  <si>
    <t>2-2-1-2-1</t>
  </si>
  <si>
    <t>1-1-2-1-2</t>
  </si>
  <si>
    <t>4-3-4-3-3</t>
  </si>
  <si>
    <t>3-4-3-4-4</t>
  </si>
  <si>
    <t>5-5-5-5-5</t>
  </si>
  <si>
    <t>39.4</t>
  </si>
  <si>
    <t>26.9</t>
  </si>
  <si>
    <t>38.2</t>
  </si>
  <si>
    <t>3-2-2-2-1</t>
  </si>
  <si>
    <t>1-1-1-1-2</t>
  </si>
  <si>
    <t>32.3</t>
  </si>
  <si>
    <t>41.8</t>
  </si>
  <si>
    <t>42.0</t>
  </si>
  <si>
    <t>43.7</t>
  </si>
  <si>
    <t>51.4</t>
  </si>
  <si>
    <t>09.0</t>
  </si>
  <si>
    <t>11.4</t>
  </si>
  <si>
    <t>33.8</t>
  </si>
  <si>
    <t>41.6</t>
  </si>
  <si>
    <t>49.7</t>
  </si>
  <si>
    <t>50.8</t>
  </si>
  <si>
    <t>57.1</t>
  </si>
  <si>
    <t>5-2-2-1-1</t>
  </si>
  <si>
    <t>1-4-3-3-3</t>
  </si>
  <si>
    <t>3-5-4-6-4</t>
  </si>
  <si>
    <t>8-6-5-4-5</t>
  </si>
  <si>
    <t>4-3-6-5-6</t>
  </si>
  <si>
    <t>5-8-7-8-7</t>
  </si>
  <si>
    <t>7-7-8-7-8</t>
  </si>
  <si>
    <t>13-12-10-9-9</t>
  </si>
  <si>
    <t>9-9-9-10-10</t>
  </si>
  <si>
    <t>10-11-12-11-11</t>
  </si>
  <si>
    <t>16-13-12-12-12</t>
  </si>
  <si>
    <t>12-15-14-13-13</t>
  </si>
  <si>
    <t>11-14-15-14-14</t>
  </si>
  <si>
    <t>14-10-13-15-15</t>
  </si>
  <si>
    <t>14-16-16-16-16</t>
  </si>
  <si>
    <t>Jayne Henderson (Crook &amp; District) 2015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</si>
</sst>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0000"/>
    <numFmt numFmtId="178" formatCode="\x\x\x\x\x\x"/>
    <numFmt numFmtId="179" formatCode="[$-809]dd\ mmmm\ yyyy"/>
    <numFmt numFmtId="180" formatCode="0.0000"/>
    <numFmt numFmtId="181" formatCode="0.000"/>
    <numFmt numFmtId="182" formatCode="0.00000"/>
  </numFmts>
  <fonts count="8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4"/>
      <color indexed="54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10"/>
      <color indexed="54"/>
      <name val="Arial"/>
      <family val="2"/>
    </font>
    <font>
      <sz val="8"/>
      <name val="Arial"/>
      <family val="2"/>
    </font>
    <font>
      <sz val="9"/>
      <color indexed="6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54"/>
      <name val="Arial"/>
      <family val="2"/>
    </font>
    <font>
      <b/>
      <sz val="14"/>
      <color indexed="51"/>
      <name val="Arial"/>
      <family val="2"/>
    </font>
    <font>
      <b/>
      <sz val="14"/>
      <color indexed="60"/>
      <name val="Arial"/>
      <family val="2"/>
    </font>
    <font>
      <b/>
      <sz val="14"/>
      <color indexed="22"/>
      <name val="Arial"/>
      <family val="2"/>
    </font>
    <font>
      <u val="single"/>
      <sz val="10"/>
      <name val="Arial"/>
      <family val="2"/>
    </font>
    <font>
      <b/>
      <sz val="14"/>
      <color indexed="55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b/>
      <sz val="13"/>
      <color indexed="62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3"/>
      <name val="Arial"/>
      <family val="2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C000"/>
      <name val="Arial"/>
      <family val="2"/>
    </font>
    <font>
      <b/>
      <sz val="14"/>
      <color theme="9" tint="-0.24997000396251678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4"/>
      <color rgb="FFFF0000"/>
      <name val="Arial"/>
      <family val="2"/>
    </font>
    <font>
      <b/>
      <sz val="14"/>
      <color theme="0" tint="-0.3499799966812134"/>
      <name val="Arial"/>
      <family val="2"/>
    </font>
    <font>
      <b/>
      <sz val="14"/>
      <color theme="9" tint="-0.4999699890613556"/>
      <name val="Arial"/>
      <family val="2"/>
    </font>
    <font>
      <b/>
      <sz val="14"/>
      <color theme="0" tint="-0.4999699890613556"/>
      <name val="Arial"/>
      <family val="2"/>
    </font>
    <font>
      <b/>
      <sz val="12"/>
      <color theme="4" tint="-0.24997000396251678"/>
      <name val="Arial"/>
      <family val="2"/>
    </font>
    <font>
      <b/>
      <sz val="12"/>
      <color rgb="FFFF0000"/>
      <name val="Arial"/>
      <family val="2"/>
    </font>
    <font>
      <b/>
      <sz val="14"/>
      <color rgb="FFC00000"/>
      <name val="Arial"/>
      <family val="2"/>
    </font>
    <font>
      <b/>
      <sz val="9"/>
      <color rgb="FF0000FF"/>
      <name val="Arial"/>
      <family val="2"/>
    </font>
    <font>
      <b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Alignment="0">
      <protection/>
    </xf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6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7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0" fillId="0" borderId="11" xfId="0" applyNumberFormat="1" applyFont="1" applyBorder="1" applyAlignment="1" quotePrefix="1">
      <alignment horizontal="center"/>
    </xf>
    <xf numFmtId="1" fontId="0" fillId="0" borderId="0" xfId="0" applyNumberFormat="1" applyFont="1" applyBorder="1" applyAlignment="1" quotePrefix="1">
      <alignment horizontal="center"/>
    </xf>
    <xf numFmtId="1" fontId="0" fillId="0" borderId="10" xfId="0" applyNumberFormat="1" applyFont="1" applyBorder="1" applyAlignment="1" quotePrefix="1">
      <alignment horizontal="center"/>
    </xf>
    <xf numFmtId="0" fontId="12" fillId="0" borderId="10" xfId="0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7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5" fillId="0" borderId="0" xfId="0" applyFont="1" applyFill="1" applyAlignment="1">
      <alignment/>
    </xf>
    <xf numFmtId="1" fontId="0" fillId="0" borderId="0" xfId="0" applyNumberFormat="1" applyFont="1" applyFill="1" applyBorder="1" applyAlignment="1" quotePrefix="1">
      <alignment horizontal="center"/>
    </xf>
    <xf numFmtId="1" fontId="16" fillId="0" borderId="0" xfId="0" applyNumberFormat="1" applyFont="1" applyFill="1" applyAlignment="1">
      <alignment horizontal="center"/>
    </xf>
    <xf numFmtId="0" fontId="12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6" fontId="0" fillId="32" borderId="0" xfId="0" applyNumberFormat="1" applyFill="1" applyAlignment="1">
      <alignment/>
    </xf>
    <xf numFmtId="1" fontId="9" fillId="32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1" fontId="0" fillId="32" borderId="0" xfId="0" applyNumberFormat="1" applyFill="1" applyAlignment="1">
      <alignment/>
    </xf>
    <xf numFmtId="176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76" fontId="19" fillId="0" borderId="0" xfId="0" applyNumberFormat="1" applyFont="1" applyAlignment="1">
      <alignment/>
    </xf>
    <xf numFmtId="0" fontId="15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left"/>
      <protection locked="0"/>
    </xf>
    <xf numFmtId="176" fontId="0" fillId="0" borderId="0" xfId="0" applyNumberFormat="1" applyFill="1" applyAlignment="1">
      <alignment/>
    </xf>
    <xf numFmtId="1" fontId="0" fillId="0" borderId="0" xfId="0" applyNumberFormat="1" applyAlignment="1" applyProtection="1">
      <alignment horizontal="right"/>
      <protection locked="0"/>
    </xf>
    <xf numFmtId="0" fontId="1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49" fontId="15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Border="1" applyAlignment="1">
      <alignment/>
    </xf>
    <xf numFmtId="2" fontId="0" fillId="0" borderId="0" xfId="0" applyNumberFormat="1" applyBorder="1" applyAlignment="1" applyProtection="1">
      <alignment horizontal="right"/>
      <protection locked="0"/>
    </xf>
    <xf numFmtId="176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10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6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 quotePrefix="1">
      <alignment horizontal="center" vertical="center"/>
      <protection locked="0"/>
    </xf>
    <xf numFmtId="0" fontId="8" fillId="0" borderId="0" xfId="0" applyFont="1" applyBorder="1" applyAlignment="1">
      <alignment horizontal="right"/>
    </xf>
    <xf numFmtId="49" fontId="15" fillId="0" borderId="0" xfId="0" applyNumberFormat="1" applyFont="1" applyBorder="1" applyAlignment="1" applyProtection="1">
      <alignment horizontal="left"/>
      <protection locked="0"/>
    </xf>
    <xf numFmtId="1" fontId="0" fillId="0" borderId="11" xfId="0" applyNumberFormat="1" applyFont="1" applyBorder="1" applyAlignment="1" quotePrefix="1">
      <alignment horizontal="center"/>
    </xf>
    <xf numFmtId="1" fontId="0" fillId="0" borderId="0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 quotePrefix="1">
      <alignment horizontal="center"/>
    </xf>
    <xf numFmtId="16" fontId="15" fillId="0" borderId="0" xfId="0" applyNumberFormat="1" applyFont="1" applyAlignment="1" applyProtection="1" quotePrefix="1">
      <alignment horizontal="left"/>
      <protection locked="0"/>
    </xf>
    <xf numFmtId="0" fontId="15" fillId="0" borderId="0" xfId="0" applyFont="1" applyAlignment="1" applyProtection="1" quotePrefix="1">
      <alignment/>
      <protection locked="0"/>
    </xf>
    <xf numFmtId="0" fontId="15" fillId="0" borderId="0" xfId="0" applyFont="1" applyAlignment="1" applyProtection="1" quotePrefix="1">
      <alignment horizontal="left"/>
      <protection locked="0"/>
    </xf>
    <xf numFmtId="49" fontId="15" fillId="0" borderId="0" xfId="0" applyNumberFormat="1" applyFont="1" applyAlignment="1" applyProtection="1" quotePrefix="1">
      <alignment horizontal="left"/>
      <protection locked="0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 quotePrefix="1">
      <alignment horizontal="center" vertical="center"/>
      <protection locked="0"/>
    </xf>
    <xf numFmtId="0" fontId="3" fillId="0" borderId="0" xfId="0" applyFont="1" applyBorder="1" applyAlignment="1">
      <alignment/>
    </xf>
    <xf numFmtId="49" fontId="15" fillId="0" borderId="0" xfId="0" applyNumberFormat="1" applyFont="1" applyBorder="1" applyAlignment="1" applyProtection="1" quotePrefix="1">
      <alignment horizontal="left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7" fontId="31" fillId="0" borderId="0" xfId="0" applyNumberFormat="1" applyFont="1" applyAlignment="1">
      <alignment horizontal="center"/>
    </xf>
    <xf numFmtId="47" fontId="31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Border="1" applyAlignment="1" applyProtection="1" quotePrefix="1">
      <alignment horizontal="center" vertical="center"/>
      <protection locked="0"/>
    </xf>
    <xf numFmtId="47" fontId="31" fillId="0" borderId="0" xfId="0" applyNumberFormat="1" applyFont="1" applyAlignment="1" quotePrefix="1">
      <alignment/>
    </xf>
    <xf numFmtId="0" fontId="27" fillId="0" borderId="10" xfId="0" applyFont="1" applyBorder="1" applyAlignment="1">
      <alignment/>
    </xf>
    <xf numFmtId="49" fontId="0" fillId="0" borderId="0" xfId="0" applyNumberFormat="1" applyFont="1" applyBorder="1" applyAlignment="1" applyProtection="1">
      <alignment horizontal="left"/>
      <protection locked="0"/>
    </xf>
    <xf numFmtId="0" fontId="73" fillId="0" borderId="0" xfId="0" applyFont="1" applyAlignment="1">
      <alignment/>
    </xf>
    <xf numFmtId="0" fontId="16" fillId="0" borderId="0" xfId="0" applyFont="1" applyAlignment="1">
      <alignment/>
    </xf>
    <xf numFmtId="0" fontId="74" fillId="0" borderId="0" xfId="0" applyFont="1" applyAlignment="1" applyProtection="1">
      <alignment horizontal="center" vertical="center"/>
      <protection locked="0"/>
    </xf>
    <xf numFmtId="0" fontId="75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 quotePrefix="1">
      <alignment horizontal="left"/>
      <protection locked="0"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 applyProtection="1">
      <alignment horizontal="right"/>
      <protection locked="0"/>
    </xf>
    <xf numFmtId="0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 horizontal="center"/>
    </xf>
    <xf numFmtId="14" fontId="15" fillId="0" borderId="0" xfId="0" applyNumberFormat="1" applyFont="1" applyAlignment="1" applyProtection="1" quotePrefix="1">
      <alignment horizontal="left"/>
      <protection locked="0"/>
    </xf>
    <xf numFmtId="47" fontId="2" fillId="0" borderId="0" xfId="0" applyNumberFormat="1" applyFont="1" applyAlignment="1">
      <alignment/>
    </xf>
    <xf numFmtId="49" fontId="0" fillId="0" borderId="0" xfId="0" applyNumberFormat="1" applyFont="1" applyAlignment="1" applyProtection="1">
      <alignment horizontal="left"/>
      <protection locked="0"/>
    </xf>
    <xf numFmtId="0" fontId="76" fillId="0" borderId="0" xfId="0" applyFont="1" applyBorder="1" applyAlignment="1" applyProtection="1">
      <alignment horizontal="center" vertical="center"/>
      <protection locked="0"/>
    </xf>
    <xf numFmtId="0" fontId="77" fillId="0" borderId="0" xfId="0" applyFont="1" applyBorder="1" applyAlignment="1" applyProtection="1">
      <alignment horizontal="center" vertical="center"/>
      <protection locked="0"/>
    </xf>
    <xf numFmtId="0" fontId="77" fillId="0" borderId="11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34" fillId="0" borderId="0" xfId="0" applyFont="1" applyFill="1" applyBorder="1" applyAlignment="1">
      <alignment horizontal="right"/>
    </xf>
    <xf numFmtId="0" fontId="79" fillId="0" borderId="0" xfId="0" applyFont="1" applyAlignment="1" applyProtection="1">
      <alignment horizontal="center" vertical="center"/>
      <protection locked="0"/>
    </xf>
    <xf numFmtId="2" fontId="73" fillId="0" borderId="0" xfId="0" applyNumberFormat="1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47" fontId="2" fillId="0" borderId="0" xfId="0" applyNumberFormat="1" applyFont="1" applyAlignment="1" quotePrefix="1">
      <alignment/>
    </xf>
    <xf numFmtId="0" fontId="74" fillId="0" borderId="0" xfId="0" applyFont="1" applyFill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 vertical="center"/>
      <protection locked="0"/>
    </xf>
    <xf numFmtId="0" fontId="81" fillId="0" borderId="0" xfId="0" applyFont="1" applyAlignment="1" applyProtection="1">
      <alignment horizontal="center" vertical="center"/>
      <protection locked="0"/>
    </xf>
    <xf numFmtId="0" fontId="82" fillId="0" borderId="11" xfId="0" applyFont="1" applyBorder="1" applyAlignment="1">
      <alignment horizontal="center" vertical="center"/>
    </xf>
    <xf numFmtId="0" fontId="83" fillId="0" borderId="0" xfId="0" applyFont="1" applyBorder="1" applyAlignment="1" applyProtection="1">
      <alignment horizontal="center" vertical="center"/>
      <protection locked="0"/>
    </xf>
    <xf numFmtId="0" fontId="84" fillId="0" borderId="0" xfId="0" applyFont="1" applyAlignment="1" applyProtection="1" quotePrefix="1">
      <alignment horizontal="center" vertical="center"/>
      <protection locked="0"/>
    </xf>
    <xf numFmtId="2" fontId="0" fillId="0" borderId="0" xfId="0" applyNumberFormat="1" applyFont="1" applyBorder="1" applyAlignment="1" applyProtection="1">
      <alignment horizontal="right"/>
      <protection locked="0"/>
    </xf>
    <xf numFmtId="0" fontId="85" fillId="0" borderId="0" xfId="0" applyFont="1" applyAlignment="1">
      <alignment/>
    </xf>
    <xf numFmtId="0" fontId="8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47625</xdr:rowOff>
    </xdr:from>
    <xdr:to>
      <xdr:col>16</xdr:col>
      <xdr:colOff>123825</xdr:colOff>
      <xdr:row>3</xdr:row>
      <xdr:rowOff>161925</xdr:rowOff>
    </xdr:to>
    <xdr:pic>
      <xdr:nvPicPr>
        <xdr:cNvPr id="1" name="Picture 1" descr="neca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7625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38100</xdr:rowOff>
    </xdr:from>
    <xdr:to>
      <xdr:col>16</xdr:col>
      <xdr:colOff>180975</xdr:colOff>
      <xdr:row>4</xdr:row>
      <xdr:rowOff>152400</xdr:rowOff>
    </xdr:to>
    <xdr:pic>
      <xdr:nvPicPr>
        <xdr:cNvPr id="1" name="Picture 1" descr="neca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1</xdr:row>
      <xdr:rowOff>38100</xdr:rowOff>
    </xdr:from>
    <xdr:to>
      <xdr:col>9</xdr:col>
      <xdr:colOff>190500</xdr:colOff>
      <xdr:row>5</xdr:row>
      <xdr:rowOff>76200</xdr:rowOff>
    </xdr:to>
    <xdr:pic>
      <xdr:nvPicPr>
        <xdr:cNvPr id="1" name="Picture 1" descr="neca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00025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38100</xdr:rowOff>
    </xdr:from>
    <xdr:to>
      <xdr:col>16</xdr:col>
      <xdr:colOff>180975</xdr:colOff>
      <xdr:row>4</xdr:row>
      <xdr:rowOff>152400</xdr:rowOff>
    </xdr:to>
    <xdr:pic>
      <xdr:nvPicPr>
        <xdr:cNvPr id="1" name="Picture 1" descr="neca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810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0</xdr:row>
      <xdr:rowOff>66675</xdr:rowOff>
    </xdr:from>
    <xdr:to>
      <xdr:col>16</xdr:col>
      <xdr:colOff>133350</xdr:colOff>
      <xdr:row>3</xdr:row>
      <xdr:rowOff>104775</xdr:rowOff>
    </xdr:to>
    <xdr:pic>
      <xdr:nvPicPr>
        <xdr:cNvPr id="1" name="Picture 1" descr="neca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66675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28575</xdr:rowOff>
    </xdr:from>
    <xdr:to>
      <xdr:col>16</xdr:col>
      <xdr:colOff>333375</xdr:colOff>
      <xdr:row>4</xdr:row>
      <xdr:rowOff>180975</xdr:rowOff>
    </xdr:to>
    <xdr:pic>
      <xdr:nvPicPr>
        <xdr:cNvPr id="1" name="Picture 1" descr="neca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85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57150</xdr:rowOff>
    </xdr:from>
    <xdr:to>
      <xdr:col>16</xdr:col>
      <xdr:colOff>152400</xdr:colOff>
      <xdr:row>3</xdr:row>
      <xdr:rowOff>85725</xdr:rowOff>
    </xdr:to>
    <xdr:pic>
      <xdr:nvPicPr>
        <xdr:cNvPr id="1" name="Picture 1" descr="neca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5715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28575</xdr:rowOff>
    </xdr:from>
    <xdr:to>
      <xdr:col>16</xdr:col>
      <xdr:colOff>228600</xdr:colOff>
      <xdr:row>5</xdr:row>
      <xdr:rowOff>0</xdr:rowOff>
    </xdr:to>
    <xdr:pic>
      <xdr:nvPicPr>
        <xdr:cNvPr id="1" name="Picture 1" descr="neca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8575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34</xdr:row>
      <xdr:rowOff>9525</xdr:rowOff>
    </xdr:from>
    <xdr:to>
      <xdr:col>16</xdr:col>
      <xdr:colOff>285750</xdr:colOff>
      <xdr:row>38</xdr:row>
      <xdr:rowOff>152400</xdr:rowOff>
    </xdr:to>
    <xdr:pic>
      <xdr:nvPicPr>
        <xdr:cNvPr id="2" name="Picture 1" descr="neca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6057900"/>
          <a:ext cx="952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38100</xdr:rowOff>
    </xdr:from>
    <xdr:to>
      <xdr:col>17</xdr:col>
      <xdr:colOff>19050</xdr:colOff>
      <xdr:row>4</xdr:row>
      <xdr:rowOff>190500</xdr:rowOff>
    </xdr:to>
    <xdr:pic>
      <xdr:nvPicPr>
        <xdr:cNvPr id="1" name="Picture 1" descr="neca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38100"/>
          <a:ext cx="962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38100</xdr:rowOff>
    </xdr:from>
    <xdr:to>
      <xdr:col>16</xdr:col>
      <xdr:colOff>228600</xdr:colOff>
      <xdr:row>4</xdr:row>
      <xdr:rowOff>123825</xdr:rowOff>
    </xdr:to>
    <xdr:pic>
      <xdr:nvPicPr>
        <xdr:cNvPr id="1" name="Picture 1" descr="neca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38100"/>
          <a:ext cx="876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19050</xdr:rowOff>
    </xdr:from>
    <xdr:to>
      <xdr:col>17</xdr:col>
      <xdr:colOff>9525</xdr:colOff>
      <xdr:row>5</xdr:row>
      <xdr:rowOff>0</xdr:rowOff>
    </xdr:to>
    <xdr:pic>
      <xdr:nvPicPr>
        <xdr:cNvPr id="1" name="Picture 1" descr="neca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905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rth%20east%20counties%20Pentathlon%202013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veteran age factors"/>
      <sheetName val="Sheet2"/>
      <sheetName val="Tables"/>
      <sheetName val="13 Girls"/>
      <sheetName val="13 Boys"/>
      <sheetName val="15 Girls"/>
      <sheetName val="15 Boys"/>
      <sheetName val="17 Women"/>
      <sheetName val="17 Men"/>
      <sheetName val="20 Women"/>
      <sheetName val="20 Men "/>
      <sheetName val="Sen Women"/>
      <sheetName val="Sen Men"/>
      <sheetName val="Vet Women"/>
      <sheetName val="Vet Men"/>
      <sheetName val="results"/>
      <sheetName val="results (h)"/>
      <sheetName val="5k and 10k"/>
      <sheetName val="Sheet4"/>
    </sheetNames>
    <sheetDataSet>
      <sheetData sheetId="3">
        <row r="3">
          <cell r="J3">
            <v>8</v>
          </cell>
          <cell r="K3">
            <v>1122</v>
          </cell>
        </row>
        <row r="4">
          <cell r="J4">
            <v>8.1</v>
          </cell>
          <cell r="K4">
            <v>1103</v>
          </cell>
        </row>
        <row r="5">
          <cell r="J5">
            <v>8.2</v>
          </cell>
          <cell r="K5">
            <v>1084</v>
          </cell>
        </row>
        <row r="6">
          <cell r="J6">
            <v>8.3</v>
          </cell>
          <cell r="K6">
            <v>1066</v>
          </cell>
        </row>
        <row r="7">
          <cell r="J7">
            <v>8.4</v>
          </cell>
          <cell r="K7">
            <v>1048</v>
          </cell>
        </row>
        <row r="8">
          <cell r="J8">
            <v>8.5</v>
          </cell>
          <cell r="K8">
            <v>1030</v>
          </cell>
        </row>
        <row r="9">
          <cell r="J9">
            <v>8.6</v>
          </cell>
          <cell r="K9">
            <v>1012</v>
          </cell>
        </row>
        <row r="10">
          <cell r="J10">
            <v>8.7</v>
          </cell>
          <cell r="K10">
            <v>995</v>
          </cell>
        </row>
        <row r="11">
          <cell r="J11">
            <v>8.8</v>
          </cell>
          <cell r="K11">
            <v>978</v>
          </cell>
        </row>
        <row r="12">
          <cell r="J12">
            <v>8.9</v>
          </cell>
          <cell r="K12">
            <v>962</v>
          </cell>
        </row>
        <row r="13">
          <cell r="J13">
            <v>9</v>
          </cell>
          <cell r="K13">
            <v>946</v>
          </cell>
        </row>
        <row r="14">
          <cell r="J14">
            <v>9.1</v>
          </cell>
          <cell r="K14">
            <v>930</v>
          </cell>
        </row>
        <row r="15">
          <cell r="J15">
            <v>9.2</v>
          </cell>
          <cell r="K15">
            <v>914</v>
          </cell>
        </row>
        <row r="16">
          <cell r="J16">
            <v>9.3</v>
          </cell>
          <cell r="K16">
            <v>899</v>
          </cell>
        </row>
        <row r="17">
          <cell r="J17">
            <v>9.4</v>
          </cell>
          <cell r="K17">
            <v>884</v>
          </cell>
        </row>
        <row r="18">
          <cell r="J18">
            <v>9.49999999999999</v>
          </cell>
          <cell r="K18">
            <v>869</v>
          </cell>
        </row>
        <row r="19">
          <cell r="J19">
            <v>9.59999999999999</v>
          </cell>
          <cell r="K19">
            <v>855</v>
          </cell>
        </row>
        <row r="20">
          <cell r="J20">
            <v>9.69999999999999</v>
          </cell>
          <cell r="K20">
            <v>840</v>
          </cell>
        </row>
        <row r="21">
          <cell r="J21">
            <v>9.79999999999999</v>
          </cell>
          <cell r="K21">
            <v>826</v>
          </cell>
        </row>
        <row r="22">
          <cell r="J22">
            <v>9.89999999999999</v>
          </cell>
          <cell r="K22">
            <v>813</v>
          </cell>
        </row>
        <row r="23">
          <cell r="J23">
            <v>9.99999999999999</v>
          </cell>
          <cell r="K23">
            <v>799</v>
          </cell>
        </row>
        <row r="24">
          <cell r="J24">
            <v>10.1</v>
          </cell>
          <cell r="K24">
            <v>786</v>
          </cell>
        </row>
        <row r="25">
          <cell r="J25">
            <v>10.2</v>
          </cell>
          <cell r="K25">
            <v>773</v>
          </cell>
        </row>
        <row r="26">
          <cell r="J26">
            <v>10.3</v>
          </cell>
          <cell r="K26">
            <v>760</v>
          </cell>
        </row>
        <row r="27">
          <cell r="J27">
            <v>10.4</v>
          </cell>
          <cell r="K27">
            <v>747</v>
          </cell>
        </row>
        <row r="28">
          <cell r="J28">
            <v>10.5</v>
          </cell>
          <cell r="K28">
            <v>734</v>
          </cell>
        </row>
        <row r="29">
          <cell r="J29">
            <v>10.6</v>
          </cell>
          <cell r="K29">
            <v>722</v>
          </cell>
        </row>
        <row r="30">
          <cell r="J30">
            <v>10.7</v>
          </cell>
          <cell r="K30">
            <v>710</v>
          </cell>
        </row>
        <row r="31">
          <cell r="J31">
            <v>10.8</v>
          </cell>
          <cell r="K31">
            <v>698</v>
          </cell>
        </row>
        <row r="32">
          <cell r="J32">
            <v>10.9</v>
          </cell>
          <cell r="K32">
            <v>686</v>
          </cell>
        </row>
        <row r="33">
          <cell r="J33">
            <v>11</v>
          </cell>
          <cell r="K33">
            <v>675</v>
          </cell>
        </row>
        <row r="34">
          <cell r="J34">
            <v>11.1</v>
          </cell>
          <cell r="K34">
            <v>663</v>
          </cell>
        </row>
        <row r="35">
          <cell r="J35">
            <v>11.2</v>
          </cell>
          <cell r="K35">
            <v>652</v>
          </cell>
        </row>
        <row r="36">
          <cell r="J36">
            <v>11.3</v>
          </cell>
          <cell r="K36">
            <v>641</v>
          </cell>
        </row>
        <row r="37">
          <cell r="J37">
            <v>11.4</v>
          </cell>
          <cell r="K37">
            <v>630</v>
          </cell>
        </row>
        <row r="38">
          <cell r="J38">
            <v>11.5</v>
          </cell>
          <cell r="K38">
            <v>620</v>
          </cell>
        </row>
        <row r="39">
          <cell r="J39">
            <v>11.6</v>
          </cell>
          <cell r="K39">
            <v>609</v>
          </cell>
        </row>
        <row r="40">
          <cell r="J40">
            <v>11.7</v>
          </cell>
          <cell r="K40">
            <v>599</v>
          </cell>
        </row>
        <row r="41">
          <cell r="J41">
            <v>11.8</v>
          </cell>
          <cell r="K41">
            <v>588</v>
          </cell>
        </row>
        <row r="42">
          <cell r="J42">
            <v>11.9</v>
          </cell>
          <cell r="K42">
            <v>578</v>
          </cell>
        </row>
        <row r="43">
          <cell r="J43">
            <v>12</v>
          </cell>
          <cell r="K43">
            <v>586</v>
          </cell>
        </row>
        <row r="44">
          <cell r="J44">
            <v>12.1</v>
          </cell>
          <cell r="K44">
            <v>558</v>
          </cell>
        </row>
        <row r="45">
          <cell r="J45">
            <v>12.2</v>
          </cell>
          <cell r="K45">
            <v>549</v>
          </cell>
        </row>
        <row r="46">
          <cell r="J46">
            <v>12.3</v>
          </cell>
          <cell r="K46">
            <v>539</v>
          </cell>
        </row>
        <row r="47">
          <cell r="J47">
            <v>12.4</v>
          </cell>
          <cell r="K47">
            <v>530</v>
          </cell>
        </row>
        <row r="48">
          <cell r="J48">
            <v>12.5</v>
          </cell>
          <cell r="K48">
            <v>521</v>
          </cell>
        </row>
        <row r="49">
          <cell r="J49">
            <v>12.6</v>
          </cell>
          <cell r="K49">
            <v>511</v>
          </cell>
        </row>
        <row r="50">
          <cell r="J50">
            <v>12.7</v>
          </cell>
          <cell r="K50">
            <v>502</v>
          </cell>
        </row>
        <row r="51">
          <cell r="J51">
            <v>12.8</v>
          </cell>
          <cell r="K51">
            <v>497</v>
          </cell>
        </row>
        <row r="52">
          <cell r="J52">
            <v>12.9</v>
          </cell>
          <cell r="K52">
            <v>489</v>
          </cell>
        </row>
        <row r="53">
          <cell r="J53">
            <v>13</v>
          </cell>
          <cell r="K53">
            <v>480</v>
          </cell>
        </row>
        <row r="54">
          <cell r="J54">
            <v>13.1</v>
          </cell>
          <cell r="K54">
            <v>471</v>
          </cell>
        </row>
        <row r="55">
          <cell r="J55">
            <v>13.2</v>
          </cell>
          <cell r="K55">
            <v>463</v>
          </cell>
        </row>
        <row r="56">
          <cell r="J56">
            <v>13.3</v>
          </cell>
          <cell r="K56">
            <v>454</v>
          </cell>
        </row>
        <row r="57">
          <cell r="J57">
            <v>13.4</v>
          </cell>
          <cell r="K57">
            <v>446</v>
          </cell>
        </row>
        <row r="58">
          <cell r="J58">
            <v>13.5</v>
          </cell>
          <cell r="K58">
            <v>438</v>
          </cell>
        </row>
        <row r="59">
          <cell r="J59">
            <v>13.6</v>
          </cell>
          <cell r="K59">
            <v>430</v>
          </cell>
        </row>
        <row r="60">
          <cell r="J60">
            <v>13.7</v>
          </cell>
          <cell r="K60">
            <v>422</v>
          </cell>
        </row>
        <row r="61">
          <cell r="J61">
            <v>13.8</v>
          </cell>
          <cell r="K61">
            <v>414</v>
          </cell>
        </row>
        <row r="62">
          <cell r="J62">
            <v>13.9</v>
          </cell>
          <cell r="K62">
            <v>406</v>
          </cell>
        </row>
        <row r="63">
          <cell r="J63">
            <v>14</v>
          </cell>
          <cell r="K63">
            <v>399</v>
          </cell>
        </row>
        <row r="64">
          <cell r="J64">
            <v>14.1</v>
          </cell>
          <cell r="K64">
            <v>391</v>
          </cell>
        </row>
        <row r="65">
          <cell r="J65">
            <v>14.2</v>
          </cell>
          <cell r="K65">
            <v>384</v>
          </cell>
        </row>
        <row r="66">
          <cell r="J66">
            <v>14.3</v>
          </cell>
          <cell r="K66">
            <v>376</v>
          </cell>
        </row>
        <row r="67">
          <cell r="J67">
            <v>14.4</v>
          </cell>
          <cell r="K67">
            <v>369</v>
          </cell>
        </row>
        <row r="68">
          <cell r="J68">
            <v>14.5</v>
          </cell>
          <cell r="K68">
            <v>362</v>
          </cell>
        </row>
        <row r="69">
          <cell r="J69">
            <v>14.6</v>
          </cell>
          <cell r="K69">
            <v>355</v>
          </cell>
        </row>
        <row r="70">
          <cell r="J70">
            <v>14.7</v>
          </cell>
          <cell r="K70">
            <v>348</v>
          </cell>
        </row>
        <row r="71">
          <cell r="J71">
            <v>14.8</v>
          </cell>
          <cell r="K71">
            <v>341</v>
          </cell>
        </row>
        <row r="72">
          <cell r="J72">
            <v>14.9</v>
          </cell>
          <cell r="K72">
            <v>334</v>
          </cell>
        </row>
        <row r="73">
          <cell r="J73">
            <v>15</v>
          </cell>
          <cell r="K73">
            <v>327</v>
          </cell>
        </row>
        <row r="74">
          <cell r="J74">
            <v>15.1</v>
          </cell>
          <cell r="K74">
            <v>320</v>
          </cell>
        </row>
        <row r="75">
          <cell r="J75">
            <v>15.2</v>
          </cell>
          <cell r="K75">
            <v>314</v>
          </cell>
        </row>
        <row r="76">
          <cell r="J76">
            <v>15.3</v>
          </cell>
          <cell r="K76">
            <v>307</v>
          </cell>
        </row>
        <row r="77">
          <cell r="J77">
            <v>15.4</v>
          </cell>
          <cell r="K77">
            <v>301</v>
          </cell>
        </row>
        <row r="78">
          <cell r="J78">
            <v>15.5</v>
          </cell>
          <cell r="K78">
            <v>294</v>
          </cell>
        </row>
        <row r="79">
          <cell r="J79">
            <v>15.6</v>
          </cell>
          <cell r="K79">
            <v>288</v>
          </cell>
        </row>
        <row r="80">
          <cell r="J80">
            <v>15.7</v>
          </cell>
          <cell r="K80">
            <v>282</v>
          </cell>
        </row>
        <row r="81">
          <cell r="J81">
            <v>15.8</v>
          </cell>
          <cell r="K81">
            <v>275</v>
          </cell>
        </row>
        <row r="82">
          <cell r="J82">
            <v>15.9</v>
          </cell>
          <cell r="K82">
            <v>269</v>
          </cell>
        </row>
        <row r="83">
          <cell r="J83">
            <v>16</v>
          </cell>
          <cell r="K83">
            <v>263</v>
          </cell>
        </row>
        <row r="84">
          <cell r="J84">
            <v>16.1</v>
          </cell>
          <cell r="K84">
            <v>257</v>
          </cell>
        </row>
        <row r="85">
          <cell r="J85">
            <v>16.2</v>
          </cell>
          <cell r="K85">
            <v>251</v>
          </cell>
        </row>
        <row r="86">
          <cell r="J86">
            <v>16.3</v>
          </cell>
          <cell r="K86">
            <v>246</v>
          </cell>
        </row>
        <row r="87">
          <cell r="J87">
            <v>16.4</v>
          </cell>
          <cell r="K87">
            <v>240</v>
          </cell>
        </row>
        <row r="88">
          <cell r="J88">
            <v>16.5</v>
          </cell>
          <cell r="K88">
            <v>234</v>
          </cell>
        </row>
        <row r="89">
          <cell r="J89">
            <v>16.6</v>
          </cell>
          <cell r="K89">
            <v>228</v>
          </cell>
        </row>
        <row r="90">
          <cell r="J90">
            <v>16.7</v>
          </cell>
          <cell r="K90">
            <v>223</v>
          </cell>
        </row>
        <row r="91">
          <cell r="J91">
            <v>16.8</v>
          </cell>
          <cell r="K91">
            <v>217</v>
          </cell>
        </row>
        <row r="92">
          <cell r="J92">
            <v>16.9</v>
          </cell>
          <cell r="K92">
            <v>212</v>
          </cell>
        </row>
        <row r="93">
          <cell r="J93">
            <v>17</v>
          </cell>
          <cell r="K93">
            <v>206</v>
          </cell>
        </row>
        <row r="94">
          <cell r="J94">
            <v>17.1</v>
          </cell>
          <cell r="K94">
            <v>201</v>
          </cell>
        </row>
        <row r="95">
          <cell r="J95">
            <v>17.2</v>
          </cell>
          <cell r="K95">
            <v>196</v>
          </cell>
        </row>
        <row r="96">
          <cell r="J96">
            <v>17.3</v>
          </cell>
          <cell r="K96">
            <v>190</v>
          </cell>
        </row>
        <row r="97">
          <cell r="J97">
            <v>17.4</v>
          </cell>
          <cell r="K97">
            <v>185</v>
          </cell>
        </row>
        <row r="98">
          <cell r="J98">
            <v>17.5</v>
          </cell>
          <cell r="K98">
            <v>180</v>
          </cell>
        </row>
        <row r="99">
          <cell r="J99">
            <v>17.6</v>
          </cell>
          <cell r="K99">
            <v>175</v>
          </cell>
        </row>
        <row r="100">
          <cell r="J100">
            <v>17.7</v>
          </cell>
          <cell r="K100">
            <v>170</v>
          </cell>
        </row>
        <row r="101">
          <cell r="J101">
            <v>17.8</v>
          </cell>
          <cell r="K101">
            <v>165</v>
          </cell>
        </row>
        <row r="102">
          <cell r="J102">
            <v>17.9</v>
          </cell>
          <cell r="K102">
            <v>160</v>
          </cell>
        </row>
        <row r="103">
          <cell r="J103">
            <v>18</v>
          </cell>
          <cell r="K103">
            <v>155</v>
          </cell>
        </row>
        <row r="104">
          <cell r="J104">
            <v>18.1</v>
          </cell>
          <cell r="K104">
            <v>150</v>
          </cell>
        </row>
        <row r="105">
          <cell r="J105">
            <v>18.2</v>
          </cell>
          <cell r="K105">
            <v>146</v>
          </cell>
        </row>
        <row r="106">
          <cell r="J106">
            <v>18.3</v>
          </cell>
          <cell r="K106">
            <v>141</v>
          </cell>
        </row>
        <row r="107">
          <cell r="J107">
            <v>18.4</v>
          </cell>
          <cell r="K107">
            <v>136</v>
          </cell>
        </row>
        <row r="108">
          <cell r="J108">
            <v>18.5</v>
          </cell>
          <cell r="K108">
            <v>131</v>
          </cell>
        </row>
        <row r="109">
          <cell r="J109">
            <v>18.6</v>
          </cell>
          <cell r="K109">
            <v>127</v>
          </cell>
        </row>
        <row r="110">
          <cell r="J110">
            <v>18.7</v>
          </cell>
          <cell r="K110">
            <v>122</v>
          </cell>
        </row>
        <row r="111">
          <cell r="J111">
            <v>18.8</v>
          </cell>
          <cell r="K111">
            <v>118</v>
          </cell>
        </row>
        <row r="112">
          <cell r="J112">
            <v>18.9</v>
          </cell>
          <cell r="K112">
            <v>113</v>
          </cell>
        </row>
        <row r="113">
          <cell r="J113">
            <v>19</v>
          </cell>
          <cell r="K113">
            <v>109</v>
          </cell>
        </row>
        <row r="114">
          <cell r="J114">
            <v>19.1</v>
          </cell>
          <cell r="K114">
            <v>104</v>
          </cell>
        </row>
        <row r="115">
          <cell r="J115">
            <v>19.2</v>
          </cell>
          <cell r="K115">
            <v>100</v>
          </cell>
        </row>
        <row r="116">
          <cell r="J116">
            <v>19.3</v>
          </cell>
          <cell r="K116">
            <v>96</v>
          </cell>
        </row>
        <row r="117">
          <cell r="J117">
            <v>19.4</v>
          </cell>
          <cell r="K117">
            <v>92</v>
          </cell>
        </row>
        <row r="118">
          <cell r="J118">
            <v>19.5</v>
          </cell>
          <cell r="K118">
            <v>87</v>
          </cell>
        </row>
        <row r="119">
          <cell r="J119">
            <v>19.6</v>
          </cell>
          <cell r="K119">
            <v>83</v>
          </cell>
        </row>
        <row r="120">
          <cell r="J120">
            <v>19.7</v>
          </cell>
          <cell r="K120">
            <v>79</v>
          </cell>
        </row>
        <row r="121">
          <cell r="J121">
            <v>19.8</v>
          </cell>
          <cell r="K121">
            <v>75</v>
          </cell>
        </row>
        <row r="122">
          <cell r="J122">
            <v>19.9</v>
          </cell>
          <cell r="K122">
            <v>71</v>
          </cell>
        </row>
        <row r="123">
          <cell r="J123">
            <v>20</v>
          </cell>
          <cell r="K123">
            <v>67</v>
          </cell>
        </row>
        <row r="124">
          <cell r="J124">
            <v>20.1</v>
          </cell>
          <cell r="K124">
            <v>63</v>
          </cell>
        </row>
        <row r="125">
          <cell r="J125">
            <v>20.2</v>
          </cell>
          <cell r="K125">
            <v>59</v>
          </cell>
        </row>
        <row r="126">
          <cell r="J126">
            <v>20.3</v>
          </cell>
          <cell r="K126">
            <v>55</v>
          </cell>
        </row>
        <row r="127">
          <cell r="J127">
            <v>20.4</v>
          </cell>
          <cell r="K127">
            <v>51</v>
          </cell>
        </row>
        <row r="128">
          <cell r="J128">
            <v>20.5</v>
          </cell>
          <cell r="K128">
            <v>47</v>
          </cell>
        </row>
        <row r="129">
          <cell r="J129">
            <v>20.6</v>
          </cell>
          <cell r="K129">
            <v>43</v>
          </cell>
        </row>
        <row r="130">
          <cell r="J130">
            <v>20.7</v>
          </cell>
          <cell r="K130">
            <v>39</v>
          </cell>
        </row>
        <row r="131">
          <cell r="J131">
            <v>20.8</v>
          </cell>
          <cell r="K131">
            <v>36</v>
          </cell>
        </row>
        <row r="132">
          <cell r="J132">
            <v>20.9</v>
          </cell>
          <cell r="K132">
            <v>32</v>
          </cell>
        </row>
        <row r="133">
          <cell r="J133">
            <v>21</v>
          </cell>
          <cell r="K133">
            <v>28</v>
          </cell>
        </row>
        <row r="134">
          <cell r="J134">
            <v>21.1</v>
          </cell>
          <cell r="K134">
            <v>25</v>
          </cell>
        </row>
        <row r="135">
          <cell r="J135">
            <v>21.2</v>
          </cell>
          <cell r="K135">
            <v>21</v>
          </cell>
        </row>
        <row r="136">
          <cell r="J136">
            <v>21.3</v>
          </cell>
          <cell r="K136">
            <v>17</v>
          </cell>
        </row>
        <row r="137">
          <cell r="J137">
            <v>21.4</v>
          </cell>
          <cell r="K137">
            <v>14</v>
          </cell>
        </row>
        <row r="138">
          <cell r="J138">
            <v>21.5</v>
          </cell>
          <cell r="K138">
            <v>10</v>
          </cell>
        </row>
        <row r="139">
          <cell r="J139">
            <v>21.6</v>
          </cell>
          <cell r="K139">
            <v>7</v>
          </cell>
        </row>
        <row r="140">
          <cell r="J140">
            <v>21.7</v>
          </cell>
          <cell r="K140">
            <v>3</v>
          </cell>
        </row>
        <row r="141">
          <cell r="J141">
            <v>21.8</v>
          </cell>
          <cell r="K141" t="str">
            <v>ERR</v>
          </cell>
        </row>
        <row r="142">
          <cell r="J142">
            <v>21.9</v>
          </cell>
          <cell r="K142" t="str">
            <v>ERR</v>
          </cell>
        </row>
        <row r="143">
          <cell r="J143">
            <v>22</v>
          </cell>
          <cell r="K143" t="str">
            <v>ERR</v>
          </cell>
        </row>
        <row r="144">
          <cell r="J144">
            <v>22.1</v>
          </cell>
          <cell r="K144" t="str">
            <v>ERR</v>
          </cell>
        </row>
        <row r="145">
          <cell r="J145">
            <v>22.2</v>
          </cell>
          <cell r="K145" t="str">
            <v>ERR</v>
          </cell>
        </row>
        <row r="146">
          <cell r="J146">
            <v>22.3</v>
          </cell>
          <cell r="K146" t="str">
            <v>ERR</v>
          </cell>
        </row>
        <row r="147">
          <cell r="J147">
            <v>22.4</v>
          </cell>
          <cell r="K147" t="str">
            <v>ERR</v>
          </cell>
        </row>
        <row r="148">
          <cell r="J148">
            <v>22.5</v>
          </cell>
          <cell r="K148" t="str">
            <v>ERR</v>
          </cell>
        </row>
        <row r="149">
          <cell r="J149">
            <v>22.6</v>
          </cell>
          <cell r="K149" t="str">
            <v>ERR</v>
          </cell>
        </row>
        <row r="150">
          <cell r="J150">
            <v>22.7</v>
          </cell>
          <cell r="K150" t="str">
            <v>ERR</v>
          </cell>
        </row>
        <row r="151">
          <cell r="J151">
            <v>22.8</v>
          </cell>
          <cell r="K151" t="str">
            <v>ERR</v>
          </cell>
        </row>
        <row r="152">
          <cell r="J152">
            <v>22.9</v>
          </cell>
          <cell r="K152" t="str">
            <v>ERR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1">
      <selection activeCell="N39" sqref="N39"/>
    </sheetView>
  </sheetViews>
  <sheetFormatPr defaultColWidth="9.140625" defaultRowHeight="12.75"/>
  <cols>
    <col min="1" max="1" width="9.140625" style="3" customWidth="1"/>
    <col min="2" max="2" width="9.140625" style="4" customWidth="1"/>
    <col min="4" max="4" width="9.140625" style="3" customWidth="1"/>
    <col min="5" max="5" width="9.140625" style="4" customWidth="1"/>
  </cols>
  <sheetData>
    <row r="1" spans="1:12" ht="12.75">
      <c r="A1" s="68" t="s">
        <v>38</v>
      </c>
      <c r="B1" s="69"/>
      <c r="C1" s="70"/>
      <c r="D1" s="68" t="s">
        <v>39</v>
      </c>
      <c r="E1" s="69"/>
      <c r="F1" s="70"/>
      <c r="G1" s="71" t="s">
        <v>41</v>
      </c>
      <c r="H1" s="59"/>
      <c r="I1" s="59"/>
      <c r="J1" s="68" t="s">
        <v>40</v>
      </c>
      <c r="K1" s="70"/>
      <c r="L1" s="70"/>
    </row>
    <row r="3" spans="5:11" ht="12.75">
      <c r="E3" s="5"/>
      <c r="G3" s="3">
        <v>8</v>
      </c>
      <c r="H3">
        <v>1033</v>
      </c>
      <c r="J3" s="3">
        <v>8</v>
      </c>
      <c r="K3">
        <v>1122</v>
      </c>
    </row>
    <row r="4" spans="5:11" ht="12.75">
      <c r="E4" s="5"/>
      <c r="G4">
        <v>8.1</v>
      </c>
      <c r="H4">
        <v>1021</v>
      </c>
      <c r="J4">
        <v>8.1</v>
      </c>
      <c r="K4">
        <v>1103</v>
      </c>
    </row>
    <row r="5" spans="5:11" ht="12.75">
      <c r="E5" s="5"/>
      <c r="G5" s="3">
        <v>8.2</v>
      </c>
      <c r="H5">
        <v>1008</v>
      </c>
      <c r="J5" s="3">
        <v>8.2</v>
      </c>
      <c r="K5">
        <v>1084</v>
      </c>
    </row>
    <row r="6" spans="5:11" ht="12.75">
      <c r="E6" s="5"/>
      <c r="G6">
        <v>8.3</v>
      </c>
      <c r="H6">
        <v>995</v>
      </c>
      <c r="J6">
        <v>8.3</v>
      </c>
      <c r="K6">
        <v>1066</v>
      </c>
    </row>
    <row r="7" spans="5:11" ht="12.75">
      <c r="E7" s="5"/>
      <c r="G7" s="3">
        <v>8.4</v>
      </c>
      <c r="H7">
        <v>982</v>
      </c>
      <c r="J7" s="3">
        <v>8.4</v>
      </c>
      <c r="K7">
        <v>1048</v>
      </c>
    </row>
    <row r="8" spans="5:11" ht="12.75">
      <c r="E8" s="5"/>
      <c r="G8">
        <v>8.5</v>
      </c>
      <c r="H8">
        <v>970</v>
      </c>
      <c r="J8">
        <v>8.5</v>
      </c>
      <c r="K8">
        <v>1030</v>
      </c>
    </row>
    <row r="9" spans="5:11" ht="12.75">
      <c r="E9" s="5"/>
      <c r="G9" s="3">
        <v>8.6</v>
      </c>
      <c r="H9">
        <v>958</v>
      </c>
      <c r="J9" s="3">
        <v>8.6</v>
      </c>
      <c r="K9">
        <v>1012</v>
      </c>
    </row>
    <row r="10" spans="5:11" ht="12.75">
      <c r="E10" s="5"/>
      <c r="G10">
        <v>8.7</v>
      </c>
      <c r="H10">
        <v>945</v>
      </c>
      <c r="J10">
        <v>8.7</v>
      </c>
      <c r="K10">
        <v>995</v>
      </c>
    </row>
    <row r="11" spans="5:11" ht="12.75">
      <c r="E11" s="5"/>
      <c r="G11" s="3">
        <v>8.8</v>
      </c>
      <c r="H11">
        <v>933</v>
      </c>
      <c r="J11" s="3">
        <v>8.8</v>
      </c>
      <c r="K11">
        <v>978</v>
      </c>
    </row>
    <row r="12" spans="7:11" ht="12.75">
      <c r="G12">
        <v>8.9</v>
      </c>
      <c r="H12">
        <v>921</v>
      </c>
      <c r="J12">
        <v>8.9</v>
      </c>
      <c r="K12">
        <v>962</v>
      </c>
    </row>
    <row r="13" spans="1:11" ht="12.75">
      <c r="A13" s="64">
        <v>9</v>
      </c>
      <c r="B13" s="65" t="s">
        <v>5</v>
      </c>
      <c r="C13" s="66"/>
      <c r="D13" s="64">
        <v>9</v>
      </c>
      <c r="E13" s="65" t="s">
        <v>6</v>
      </c>
      <c r="F13" s="66"/>
      <c r="G13" s="64">
        <v>9</v>
      </c>
      <c r="H13" s="66">
        <v>908</v>
      </c>
      <c r="I13" s="66"/>
      <c r="J13" s="64">
        <v>9</v>
      </c>
      <c r="K13" s="66">
        <v>946</v>
      </c>
    </row>
    <row r="14" spans="1:11" ht="12.75">
      <c r="A14" s="3">
        <v>9.1</v>
      </c>
      <c r="B14" s="5" t="s">
        <v>6</v>
      </c>
      <c r="D14" s="3">
        <v>9.1</v>
      </c>
      <c r="E14" s="4">
        <v>1103</v>
      </c>
      <c r="G14">
        <v>9.1</v>
      </c>
      <c r="H14">
        <v>896</v>
      </c>
      <c r="J14">
        <v>9.1</v>
      </c>
      <c r="K14">
        <v>930</v>
      </c>
    </row>
    <row r="15" spans="1:11" ht="12.75">
      <c r="A15" s="3">
        <v>9.2</v>
      </c>
      <c r="B15" s="5" t="s">
        <v>6</v>
      </c>
      <c r="D15" s="3">
        <v>9.2</v>
      </c>
      <c r="E15" s="4">
        <v>1084</v>
      </c>
      <c r="G15" s="3">
        <v>9.2</v>
      </c>
      <c r="H15">
        <v>884</v>
      </c>
      <c r="J15" s="3">
        <v>9.2</v>
      </c>
      <c r="K15">
        <v>914</v>
      </c>
    </row>
    <row r="16" spans="1:11" ht="12.75">
      <c r="A16" s="3">
        <v>9.3</v>
      </c>
      <c r="B16" s="5" t="s">
        <v>6</v>
      </c>
      <c r="D16" s="3">
        <v>9.3</v>
      </c>
      <c r="E16" s="4">
        <v>1066</v>
      </c>
      <c r="G16">
        <v>9.3</v>
      </c>
      <c r="H16">
        <v>872</v>
      </c>
      <c r="J16">
        <v>9.3</v>
      </c>
      <c r="K16">
        <v>899</v>
      </c>
    </row>
    <row r="17" spans="1:11" ht="12.75">
      <c r="A17" s="3">
        <v>9.4</v>
      </c>
      <c r="B17" s="5" t="s">
        <v>6</v>
      </c>
      <c r="D17" s="3">
        <v>9.4</v>
      </c>
      <c r="E17" s="4">
        <v>1048</v>
      </c>
      <c r="G17" s="3">
        <v>9.4</v>
      </c>
      <c r="H17">
        <v>861</v>
      </c>
      <c r="J17" s="3">
        <v>9.4</v>
      </c>
      <c r="K17">
        <v>884</v>
      </c>
    </row>
    <row r="18" spans="1:11" ht="12.75">
      <c r="A18" s="3">
        <v>9.5</v>
      </c>
      <c r="B18" s="5" t="s">
        <v>6</v>
      </c>
      <c r="D18" s="3">
        <v>9.5</v>
      </c>
      <c r="E18" s="4">
        <v>1030</v>
      </c>
      <c r="G18">
        <v>9.49999999999999</v>
      </c>
      <c r="H18">
        <v>849</v>
      </c>
      <c r="J18">
        <v>9.49999999999999</v>
      </c>
      <c r="K18">
        <v>869</v>
      </c>
    </row>
    <row r="19" spans="1:11" ht="12.75">
      <c r="A19" s="3">
        <v>9.6</v>
      </c>
      <c r="B19" s="5" t="s">
        <v>6</v>
      </c>
      <c r="D19" s="3">
        <v>9.6</v>
      </c>
      <c r="E19" s="4">
        <v>1012</v>
      </c>
      <c r="G19" s="3">
        <v>9.59999999999999</v>
      </c>
      <c r="H19">
        <v>837</v>
      </c>
      <c r="J19" s="3">
        <v>9.59999999999999</v>
      </c>
      <c r="K19">
        <v>855</v>
      </c>
    </row>
    <row r="20" spans="1:11" ht="12.75">
      <c r="A20" s="3">
        <v>9.7</v>
      </c>
      <c r="B20" s="4">
        <v>1182</v>
      </c>
      <c r="D20" s="3">
        <v>9.7</v>
      </c>
      <c r="E20" s="4">
        <v>995</v>
      </c>
      <c r="G20">
        <v>9.69999999999999</v>
      </c>
      <c r="H20">
        <v>825</v>
      </c>
      <c r="J20">
        <v>9.69999999999999</v>
      </c>
      <c r="K20">
        <v>840</v>
      </c>
    </row>
    <row r="21" spans="1:11" ht="12.75">
      <c r="A21" s="3">
        <v>9.8</v>
      </c>
      <c r="B21" s="4">
        <v>1162</v>
      </c>
      <c r="D21" s="3">
        <v>9.8</v>
      </c>
      <c r="E21" s="4">
        <v>978</v>
      </c>
      <c r="G21" s="3">
        <v>9.79999999999999</v>
      </c>
      <c r="H21">
        <v>814</v>
      </c>
      <c r="J21" s="3">
        <v>9.79999999999999</v>
      </c>
      <c r="K21">
        <v>826</v>
      </c>
    </row>
    <row r="22" spans="1:11" ht="12.75">
      <c r="A22" s="3">
        <v>9.9</v>
      </c>
      <c r="B22" s="4">
        <v>1142</v>
      </c>
      <c r="D22" s="3">
        <v>9.9</v>
      </c>
      <c r="E22" s="4">
        <v>962</v>
      </c>
      <c r="G22">
        <v>9.89999999999999</v>
      </c>
      <c r="H22">
        <v>802</v>
      </c>
      <c r="J22">
        <v>9.89999999999999</v>
      </c>
      <c r="K22">
        <v>813</v>
      </c>
    </row>
    <row r="23" spans="1:11" ht="12.75">
      <c r="A23" s="64">
        <v>10</v>
      </c>
      <c r="B23" s="67">
        <v>1122</v>
      </c>
      <c r="C23" s="66"/>
      <c r="D23" s="64">
        <v>10</v>
      </c>
      <c r="E23" s="67">
        <v>946</v>
      </c>
      <c r="F23" s="66"/>
      <c r="G23" s="64">
        <v>9.99999999999999</v>
      </c>
      <c r="H23" s="66">
        <v>791</v>
      </c>
      <c r="I23" s="66"/>
      <c r="J23" s="64">
        <v>9.99999999999999</v>
      </c>
      <c r="K23" s="66">
        <v>799</v>
      </c>
    </row>
    <row r="24" spans="1:11" ht="12.75">
      <c r="A24" s="3">
        <v>10.1</v>
      </c>
      <c r="B24" s="4">
        <v>1103</v>
      </c>
      <c r="D24" s="3">
        <v>10.1</v>
      </c>
      <c r="E24" s="4">
        <v>930</v>
      </c>
      <c r="G24">
        <v>10.1</v>
      </c>
      <c r="H24">
        <v>780</v>
      </c>
      <c r="J24">
        <v>10.1</v>
      </c>
      <c r="K24">
        <v>786</v>
      </c>
    </row>
    <row r="25" spans="1:11" ht="12.75">
      <c r="A25" s="3">
        <v>10.2</v>
      </c>
      <c r="B25" s="4">
        <v>1084</v>
      </c>
      <c r="D25" s="3">
        <v>10.2</v>
      </c>
      <c r="E25" s="4">
        <v>914</v>
      </c>
      <c r="G25" s="3">
        <v>10.2</v>
      </c>
      <c r="H25">
        <v>768</v>
      </c>
      <c r="J25" s="3">
        <v>10.2</v>
      </c>
      <c r="K25">
        <v>773</v>
      </c>
    </row>
    <row r="26" spans="1:11" ht="12.75">
      <c r="A26" s="3">
        <v>10.3</v>
      </c>
      <c r="B26" s="4">
        <v>1066</v>
      </c>
      <c r="D26" s="3">
        <v>10.3</v>
      </c>
      <c r="E26" s="4">
        <v>899</v>
      </c>
      <c r="G26">
        <v>10.3</v>
      </c>
      <c r="H26">
        <v>757</v>
      </c>
      <c r="J26">
        <v>10.3</v>
      </c>
      <c r="K26">
        <v>760</v>
      </c>
    </row>
    <row r="27" spans="1:11" ht="12.75">
      <c r="A27" s="3">
        <v>10.4</v>
      </c>
      <c r="B27" s="4">
        <v>1048</v>
      </c>
      <c r="D27" s="3">
        <v>10.4</v>
      </c>
      <c r="E27" s="4">
        <v>884</v>
      </c>
      <c r="G27" s="3">
        <v>10.4</v>
      </c>
      <c r="H27">
        <v>746</v>
      </c>
      <c r="J27" s="3">
        <v>10.4</v>
      </c>
      <c r="K27">
        <v>747</v>
      </c>
    </row>
    <row r="28" spans="1:11" ht="12.75">
      <c r="A28" s="3">
        <v>10.5</v>
      </c>
      <c r="B28" s="4">
        <v>1030</v>
      </c>
      <c r="D28" s="3">
        <v>10.5</v>
      </c>
      <c r="E28" s="4">
        <v>869</v>
      </c>
      <c r="G28">
        <v>10.5</v>
      </c>
      <c r="H28">
        <v>735</v>
      </c>
      <c r="J28">
        <v>10.5</v>
      </c>
      <c r="K28">
        <v>734</v>
      </c>
    </row>
    <row r="29" spans="1:11" ht="12.75">
      <c r="A29" s="3">
        <v>10.6</v>
      </c>
      <c r="B29" s="4">
        <v>1012</v>
      </c>
      <c r="D29" s="3">
        <v>10.6</v>
      </c>
      <c r="E29" s="4">
        <v>855</v>
      </c>
      <c r="G29" s="3">
        <v>10.6</v>
      </c>
      <c r="H29">
        <v>724</v>
      </c>
      <c r="J29" s="3">
        <v>10.6</v>
      </c>
      <c r="K29">
        <v>722</v>
      </c>
    </row>
    <row r="30" spans="1:11" ht="12.75">
      <c r="A30" s="3">
        <v>10.7</v>
      </c>
      <c r="B30" s="4">
        <v>995</v>
      </c>
      <c r="D30" s="3">
        <v>10.7</v>
      </c>
      <c r="E30" s="4">
        <v>840</v>
      </c>
      <c r="G30">
        <v>10.7</v>
      </c>
      <c r="H30">
        <v>713</v>
      </c>
      <c r="J30">
        <v>10.7</v>
      </c>
      <c r="K30">
        <v>710</v>
      </c>
    </row>
    <row r="31" spans="1:11" ht="12.75">
      <c r="A31" s="3">
        <v>10.8</v>
      </c>
      <c r="B31" s="4">
        <v>978</v>
      </c>
      <c r="D31" s="3">
        <v>10.8</v>
      </c>
      <c r="E31" s="4">
        <v>826</v>
      </c>
      <c r="G31" s="3">
        <v>10.8</v>
      </c>
      <c r="H31">
        <v>702</v>
      </c>
      <c r="J31" s="3">
        <v>10.8</v>
      </c>
      <c r="K31">
        <v>698</v>
      </c>
    </row>
    <row r="32" spans="1:11" ht="12.75">
      <c r="A32" s="3">
        <v>10.9</v>
      </c>
      <c r="B32" s="4">
        <v>962</v>
      </c>
      <c r="D32" s="3">
        <v>10.9</v>
      </c>
      <c r="E32" s="4">
        <v>813</v>
      </c>
      <c r="G32">
        <v>10.9</v>
      </c>
      <c r="H32">
        <v>692</v>
      </c>
      <c r="J32">
        <v>10.9</v>
      </c>
      <c r="K32">
        <v>686</v>
      </c>
    </row>
    <row r="33" spans="1:11" ht="12.75">
      <c r="A33" s="64">
        <v>11</v>
      </c>
      <c r="B33" s="67">
        <v>946</v>
      </c>
      <c r="C33" s="66"/>
      <c r="D33" s="64">
        <v>11</v>
      </c>
      <c r="E33" s="67">
        <v>799</v>
      </c>
      <c r="F33" s="66"/>
      <c r="G33" s="64">
        <v>11</v>
      </c>
      <c r="H33" s="66">
        <v>681</v>
      </c>
      <c r="I33" s="66"/>
      <c r="J33" s="64">
        <v>11</v>
      </c>
      <c r="K33" s="66">
        <v>675</v>
      </c>
    </row>
    <row r="34" spans="1:11" ht="12.75">
      <c r="A34" s="3">
        <v>11.1</v>
      </c>
      <c r="B34" s="4">
        <v>930</v>
      </c>
      <c r="D34" s="3">
        <v>11.1</v>
      </c>
      <c r="E34" s="4">
        <v>786</v>
      </c>
      <c r="G34">
        <v>11.1</v>
      </c>
      <c r="H34">
        <v>670</v>
      </c>
      <c r="J34">
        <v>11.1</v>
      </c>
      <c r="K34">
        <v>663</v>
      </c>
    </row>
    <row r="35" spans="1:11" ht="12.75">
      <c r="A35" s="3">
        <v>11.2</v>
      </c>
      <c r="B35" s="4">
        <v>914</v>
      </c>
      <c r="D35" s="3">
        <v>11.2</v>
      </c>
      <c r="E35" s="4">
        <v>773</v>
      </c>
      <c r="G35" s="3">
        <v>11.2</v>
      </c>
      <c r="H35">
        <v>660</v>
      </c>
      <c r="J35" s="3">
        <v>11.2</v>
      </c>
      <c r="K35">
        <v>652</v>
      </c>
    </row>
    <row r="36" spans="1:11" ht="12.75">
      <c r="A36" s="3">
        <v>11.3</v>
      </c>
      <c r="B36" s="4">
        <v>899</v>
      </c>
      <c r="D36" s="3">
        <v>11.3</v>
      </c>
      <c r="E36" s="4">
        <v>760</v>
      </c>
      <c r="G36">
        <v>11.3</v>
      </c>
      <c r="H36">
        <v>649</v>
      </c>
      <c r="J36">
        <v>11.3</v>
      </c>
      <c r="K36">
        <v>641</v>
      </c>
    </row>
    <row r="37" spans="1:11" ht="12.75">
      <c r="A37" s="3">
        <v>11.4</v>
      </c>
      <c r="B37" s="4">
        <v>884</v>
      </c>
      <c r="D37" s="3">
        <v>11.4</v>
      </c>
      <c r="E37" s="4">
        <v>747</v>
      </c>
      <c r="G37" s="3">
        <v>11.4</v>
      </c>
      <c r="H37">
        <v>639</v>
      </c>
      <c r="J37" s="3">
        <v>11.4</v>
      </c>
      <c r="K37">
        <v>630</v>
      </c>
    </row>
    <row r="38" spans="1:11" ht="12.75">
      <c r="A38" s="3">
        <v>11.5</v>
      </c>
      <c r="B38" s="4">
        <v>869</v>
      </c>
      <c r="D38" s="3">
        <v>11.5</v>
      </c>
      <c r="E38" s="4">
        <v>734</v>
      </c>
      <c r="G38">
        <v>11.5</v>
      </c>
      <c r="H38">
        <v>629</v>
      </c>
      <c r="J38">
        <v>11.5</v>
      </c>
      <c r="K38">
        <v>620</v>
      </c>
    </row>
    <row r="39" spans="1:11" ht="12.75">
      <c r="A39" s="3">
        <v>11.6</v>
      </c>
      <c r="B39" s="4">
        <v>855</v>
      </c>
      <c r="D39" s="3">
        <v>11.6</v>
      </c>
      <c r="E39" s="4">
        <v>722</v>
      </c>
      <c r="G39" s="3">
        <v>11.6</v>
      </c>
      <c r="H39">
        <v>618</v>
      </c>
      <c r="J39" s="3">
        <v>11.6</v>
      </c>
      <c r="K39">
        <v>609</v>
      </c>
    </row>
    <row r="40" spans="1:11" ht="12.75">
      <c r="A40" s="3">
        <v>11.7</v>
      </c>
      <c r="B40" s="4">
        <v>840</v>
      </c>
      <c r="D40" s="3">
        <v>11.7</v>
      </c>
      <c r="E40" s="4">
        <v>710</v>
      </c>
      <c r="G40">
        <v>11.7</v>
      </c>
      <c r="H40">
        <v>608</v>
      </c>
      <c r="J40">
        <v>11.7</v>
      </c>
      <c r="K40">
        <v>599</v>
      </c>
    </row>
    <row r="41" spans="1:11" ht="12.75">
      <c r="A41" s="3">
        <v>11.8</v>
      </c>
      <c r="B41" s="4">
        <v>826</v>
      </c>
      <c r="D41" s="3">
        <v>11.8</v>
      </c>
      <c r="E41" s="4">
        <v>698</v>
      </c>
      <c r="G41" s="3">
        <v>11.8</v>
      </c>
      <c r="H41">
        <v>598</v>
      </c>
      <c r="J41" s="3">
        <v>11.8</v>
      </c>
      <c r="K41">
        <v>588</v>
      </c>
    </row>
    <row r="42" spans="1:11" ht="12.75">
      <c r="A42" s="3">
        <v>11.9</v>
      </c>
      <c r="B42" s="4">
        <v>813</v>
      </c>
      <c r="D42" s="3">
        <v>11.9</v>
      </c>
      <c r="E42" s="4">
        <v>686</v>
      </c>
      <c r="G42">
        <v>11.9</v>
      </c>
      <c r="H42">
        <v>588</v>
      </c>
      <c r="J42">
        <v>11.9</v>
      </c>
      <c r="K42">
        <v>578</v>
      </c>
    </row>
    <row r="43" spans="1:11" ht="12.75">
      <c r="A43" s="64">
        <v>12</v>
      </c>
      <c r="B43" s="67">
        <v>799</v>
      </c>
      <c r="C43" s="66"/>
      <c r="D43" s="64">
        <v>12</v>
      </c>
      <c r="E43" s="67">
        <v>675</v>
      </c>
      <c r="F43" s="66"/>
      <c r="G43" s="64">
        <v>12</v>
      </c>
      <c r="H43" s="66">
        <v>578</v>
      </c>
      <c r="I43" s="66"/>
      <c r="J43" s="64">
        <v>12</v>
      </c>
      <c r="K43" s="66">
        <v>566</v>
      </c>
    </row>
    <row r="44" spans="1:11" ht="12.75">
      <c r="A44" s="3">
        <v>12.1</v>
      </c>
      <c r="B44" s="4">
        <v>786</v>
      </c>
      <c r="D44" s="3">
        <v>12.1</v>
      </c>
      <c r="E44" s="4">
        <v>663</v>
      </c>
      <c r="G44">
        <v>12.1</v>
      </c>
      <c r="H44">
        <v>569</v>
      </c>
      <c r="J44">
        <v>12.1</v>
      </c>
      <c r="K44">
        <v>558</v>
      </c>
    </row>
    <row r="45" spans="1:11" ht="12.75">
      <c r="A45" s="3">
        <v>12.2</v>
      </c>
      <c r="B45" s="4">
        <v>773</v>
      </c>
      <c r="D45" s="3">
        <v>12.2</v>
      </c>
      <c r="E45" s="4">
        <v>652</v>
      </c>
      <c r="G45" s="3">
        <v>12.2</v>
      </c>
      <c r="H45">
        <v>559</v>
      </c>
      <c r="J45" s="3">
        <v>12.2</v>
      </c>
      <c r="K45">
        <v>549</v>
      </c>
    </row>
    <row r="46" spans="1:11" ht="12.75">
      <c r="A46" s="3">
        <v>12.3</v>
      </c>
      <c r="B46" s="4">
        <v>760</v>
      </c>
      <c r="D46" s="3">
        <v>12.3</v>
      </c>
      <c r="E46" s="4">
        <v>641</v>
      </c>
      <c r="G46">
        <v>12.3</v>
      </c>
      <c r="H46">
        <v>549</v>
      </c>
      <c r="J46">
        <v>12.3</v>
      </c>
      <c r="K46">
        <v>539</v>
      </c>
    </row>
    <row r="47" spans="1:11" ht="12.75">
      <c r="A47" s="3">
        <v>12.4</v>
      </c>
      <c r="B47" s="4">
        <v>747</v>
      </c>
      <c r="D47" s="3">
        <v>12.4</v>
      </c>
      <c r="E47" s="4">
        <v>630</v>
      </c>
      <c r="G47" s="3">
        <v>12.4</v>
      </c>
      <c r="H47">
        <v>539</v>
      </c>
      <c r="J47" s="3">
        <v>12.4</v>
      </c>
      <c r="K47">
        <v>530</v>
      </c>
    </row>
    <row r="48" spans="1:11" ht="12.75">
      <c r="A48" s="3">
        <v>12.5</v>
      </c>
      <c r="B48" s="4">
        <v>734</v>
      </c>
      <c r="D48" s="3">
        <v>12.5</v>
      </c>
      <c r="E48" s="4">
        <v>620</v>
      </c>
      <c r="G48">
        <v>12.5</v>
      </c>
      <c r="H48">
        <v>530</v>
      </c>
      <c r="J48">
        <v>12.5</v>
      </c>
      <c r="K48">
        <v>521</v>
      </c>
    </row>
    <row r="49" spans="1:11" ht="12.75">
      <c r="A49" s="3">
        <v>12.6</v>
      </c>
      <c r="B49" s="4">
        <v>722</v>
      </c>
      <c r="D49" s="3">
        <v>12.6</v>
      </c>
      <c r="E49" s="4">
        <v>609</v>
      </c>
      <c r="G49" s="3">
        <v>12.6</v>
      </c>
      <c r="H49">
        <v>521</v>
      </c>
      <c r="J49" s="3">
        <v>12.6</v>
      </c>
      <c r="K49">
        <v>511</v>
      </c>
    </row>
    <row r="50" spans="1:11" ht="12.75">
      <c r="A50" s="3">
        <v>12.7</v>
      </c>
      <c r="B50" s="4">
        <v>710</v>
      </c>
      <c r="D50" s="3">
        <v>12.7</v>
      </c>
      <c r="E50" s="4">
        <v>599</v>
      </c>
      <c r="G50">
        <v>12.7</v>
      </c>
      <c r="H50">
        <v>511</v>
      </c>
      <c r="J50">
        <v>12.7</v>
      </c>
      <c r="K50">
        <v>502</v>
      </c>
    </row>
    <row r="51" spans="1:11" ht="12.75">
      <c r="A51" s="3">
        <v>12.8</v>
      </c>
      <c r="B51" s="4">
        <v>698</v>
      </c>
      <c r="D51" s="3">
        <v>12.8</v>
      </c>
      <c r="E51" s="4">
        <v>588</v>
      </c>
      <c r="G51" s="3">
        <v>12.8</v>
      </c>
      <c r="H51">
        <v>502</v>
      </c>
      <c r="J51" s="3">
        <v>12.8</v>
      </c>
      <c r="K51">
        <v>497</v>
      </c>
    </row>
    <row r="52" spans="1:11" ht="12.75">
      <c r="A52" s="3">
        <v>12.9</v>
      </c>
      <c r="B52" s="4">
        <v>686</v>
      </c>
      <c r="D52" s="3">
        <v>12.9</v>
      </c>
      <c r="E52" s="4">
        <v>578</v>
      </c>
      <c r="G52">
        <v>12.9</v>
      </c>
      <c r="H52">
        <v>493</v>
      </c>
      <c r="J52">
        <v>12.9</v>
      </c>
      <c r="K52">
        <v>489</v>
      </c>
    </row>
    <row r="53" spans="1:11" ht="12.75">
      <c r="A53" s="64">
        <v>13</v>
      </c>
      <c r="B53" s="67">
        <v>675</v>
      </c>
      <c r="C53" s="66"/>
      <c r="D53" s="64">
        <v>13</v>
      </c>
      <c r="E53" s="67">
        <v>568</v>
      </c>
      <c r="F53" s="66"/>
      <c r="G53" s="64">
        <v>13</v>
      </c>
      <c r="H53" s="66">
        <v>483</v>
      </c>
      <c r="I53" s="66"/>
      <c r="J53" s="64">
        <v>13</v>
      </c>
      <c r="K53" s="66">
        <v>480</v>
      </c>
    </row>
    <row r="54" spans="1:11" ht="12.75">
      <c r="A54" s="3">
        <v>13.1</v>
      </c>
      <c r="B54" s="4">
        <v>663</v>
      </c>
      <c r="D54" s="3">
        <v>13.1</v>
      </c>
      <c r="E54" s="4">
        <v>558</v>
      </c>
      <c r="G54">
        <v>13.1</v>
      </c>
      <c r="H54">
        <v>474</v>
      </c>
      <c r="J54">
        <v>13.1</v>
      </c>
      <c r="K54">
        <v>471</v>
      </c>
    </row>
    <row r="55" spans="1:11" ht="12.75">
      <c r="A55" s="3">
        <v>13.2</v>
      </c>
      <c r="B55" s="4">
        <v>652</v>
      </c>
      <c r="D55" s="3">
        <v>13.2</v>
      </c>
      <c r="E55" s="4">
        <v>549</v>
      </c>
      <c r="G55" s="3">
        <v>13.2</v>
      </c>
      <c r="H55">
        <v>465</v>
      </c>
      <c r="J55" s="3">
        <v>13.2</v>
      </c>
      <c r="K55">
        <v>463</v>
      </c>
    </row>
    <row r="56" spans="1:11" ht="12.75">
      <c r="A56" s="3">
        <v>13.3</v>
      </c>
      <c r="B56" s="4">
        <v>641</v>
      </c>
      <c r="D56" s="3">
        <v>13.3</v>
      </c>
      <c r="E56" s="4">
        <v>539</v>
      </c>
      <c r="G56">
        <v>13.3</v>
      </c>
      <c r="H56">
        <v>457</v>
      </c>
      <c r="J56">
        <v>13.3</v>
      </c>
      <c r="K56">
        <v>454</v>
      </c>
    </row>
    <row r="57" spans="1:11" ht="12.75">
      <c r="A57" s="3">
        <v>13.4</v>
      </c>
      <c r="B57" s="4">
        <v>630</v>
      </c>
      <c r="D57" s="3">
        <v>13.4</v>
      </c>
      <c r="E57" s="4">
        <v>530</v>
      </c>
      <c r="G57" s="3">
        <v>13.4</v>
      </c>
      <c r="H57">
        <v>448</v>
      </c>
      <c r="J57" s="3">
        <v>13.4</v>
      </c>
      <c r="K57">
        <v>446</v>
      </c>
    </row>
    <row r="58" spans="1:11" ht="12.75">
      <c r="A58" s="3">
        <v>13.5</v>
      </c>
      <c r="B58" s="4">
        <v>620</v>
      </c>
      <c r="D58" s="3">
        <v>13.5</v>
      </c>
      <c r="E58" s="4">
        <v>521</v>
      </c>
      <c r="G58">
        <v>13.5</v>
      </c>
      <c r="H58">
        <v>439</v>
      </c>
      <c r="J58">
        <v>13.5</v>
      </c>
      <c r="K58">
        <v>438</v>
      </c>
    </row>
    <row r="59" spans="1:11" ht="12.75">
      <c r="A59" s="3">
        <v>13.6</v>
      </c>
      <c r="B59" s="4">
        <v>609</v>
      </c>
      <c r="D59" s="3">
        <v>13.6</v>
      </c>
      <c r="E59" s="4">
        <v>511</v>
      </c>
      <c r="G59" s="3">
        <v>13.6</v>
      </c>
      <c r="H59">
        <v>430</v>
      </c>
      <c r="J59" s="3">
        <v>13.6</v>
      </c>
      <c r="K59">
        <v>430</v>
      </c>
    </row>
    <row r="60" spans="1:11" ht="12.75">
      <c r="A60" s="3">
        <v>13.7</v>
      </c>
      <c r="B60" s="4">
        <v>599</v>
      </c>
      <c r="D60" s="3">
        <v>13.7</v>
      </c>
      <c r="E60" s="4">
        <v>502</v>
      </c>
      <c r="G60">
        <v>13.7</v>
      </c>
      <c r="H60">
        <v>422</v>
      </c>
      <c r="J60">
        <v>13.7</v>
      </c>
      <c r="K60">
        <v>422</v>
      </c>
    </row>
    <row r="61" spans="1:11" ht="12.75">
      <c r="A61" s="3">
        <v>13.8</v>
      </c>
      <c r="B61" s="4">
        <v>588</v>
      </c>
      <c r="D61" s="3">
        <v>13.8</v>
      </c>
      <c r="E61" s="4">
        <v>497</v>
      </c>
      <c r="G61" s="3">
        <v>13.8</v>
      </c>
      <c r="H61">
        <v>423</v>
      </c>
      <c r="J61" s="3">
        <v>13.8</v>
      </c>
      <c r="K61">
        <v>414</v>
      </c>
    </row>
    <row r="62" spans="1:11" ht="12.75">
      <c r="A62" s="3">
        <v>13.9</v>
      </c>
      <c r="B62" s="4">
        <v>578</v>
      </c>
      <c r="D62" s="3">
        <v>13.9</v>
      </c>
      <c r="E62" s="4">
        <v>489</v>
      </c>
      <c r="G62">
        <v>13.9</v>
      </c>
      <c r="H62">
        <v>405</v>
      </c>
      <c r="J62">
        <v>13.9</v>
      </c>
      <c r="K62">
        <v>406</v>
      </c>
    </row>
    <row r="63" spans="1:11" ht="12.75">
      <c r="A63" s="64">
        <v>14</v>
      </c>
      <c r="B63" s="67">
        <v>568</v>
      </c>
      <c r="C63" s="66"/>
      <c r="D63" s="64">
        <v>14</v>
      </c>
      <c r="E63" s="67">
        <v>480</v>
      </c>
      <c r="F63" s="66"/>
      <c r="G63" s="64">
        <v>14</v>
      </c>
      <c r="H63" s="66">
        <v>396</v>
      </c>
      <c r="I63" s="66"/>
      <c r="J63" s="64">
        <v>14</v>
      </c>
      <c r="K63" s="66">
        <v>399</v>
      </c>
    </row>
    <row r="64" spans="1:11" ht="12.75">
      <c r="A64" s="3">
        <v>14.1</v>
      </c>
      <c r="B64" s="4">
        <v>558</v>
      </c>
      <c r="D64" s="3">
        <v>14.1</v>
      </c>
      <c r="E64" s="4">
        <v>471</v>
      </c>
      <c r="G64">
        <v>14.1</v>
      </c>
      <c r="H64">
        <v>388</v>
      </c>
      <c r="J64">
        <v>14.1</v>
      </c>
      <c r="K64">
        <v>391</v>
      </c>
    </row>
    <row r="65" spans="1:11" ht="12.75">
      <c r="A65" s="3">
        <v>14.2</v>
      </c>
      <c r="B65" s="4">
        <v>549</v>
      </c>
      <c r="D65" s="3">
        <v>14.2</v>
      </c>
      <c r="E65" s="4">
        <v>463</v>
      </c>
      <c r="G65" s="3">
        <v>14.2</v>
      </c>
      <c r="H65">
        <v>380</v>
      </c>
      <c r="J65" s="3">
        <v>14.2</v>
      </c>
      <c r="K65">
        <v>384</v>
      </c>
    </row>
    <row r="66" spans="1:11" ht="12.75">
      <c r="A66" s="3">
        <v>14.3</v>
      </c>
      <c r="B66" s="4">
        <v>539</v>
      </c>
      <c r="D66" s="3">
        <v>14.3</v>
      </c>
      <c r="E66" s="4">
        <v>454</v>
      </c>
      <c r="G66">
        <v>14.3</v>
      </c>
      <c r="H66">
        <v>372</v>
      </c>
      <c r="J66">
        <v>14.3</v>
      </c>
      <c r="K66">
        <v>376</v>
      </c>
    </row>
    <row r="67" spans="1:11" ht="12.75">
      <c r="A67" s="3">
        <v>14.4</v>
      </c>
      <c r="B67" s="4">
        <v>530</v>
      </c>
      <c r="D67" s="3">
        <v>14.4</v>
      </c>
      <c r="E67" s="4">
        <v>446</v>
      </c>
      <c r="G67" s="3">
        <v>14.4</v>
      </c>
      <c r="H67">
        <v>364</v>
      </c>
      <c r="J67" s="3">
        <v>14.4</v>
      </c>
      <c r="K67">
        <v>369</v>
      </c>
    </row>
    <row r="68" spans="1:11" ht="12.75">
      <c r="A68" s="3">
        <v>14.5</v>
      </c>
      <c r="B68" s="4">
        <v>521</v>
      </c>
      <c r="D68" s="3">
        <v>14.5</v>
      </c>
      <c r="E68" s="4">
        <v>438</v>
      </c>
      <c r="G68">
        <v>14.5</v>
      </c>
      <c r="H68">
        <v>356</v>
      </c>
      <c r="J68">
        <v>14.5</v>
      </c>
      <c r="K68">
        <v>362</v>
      </c>
    </row>
    <row r="69" spans="1:11" ht="12.75">
      <c r="A69" s="3">
        <v>14.6</v>
      </c>
      <c r="B69" s="4">
        <v>511</v>
      </c>
      <c r="D69" s="3">
        <v>14.6</v>
      </c>
      <c r="E69" s="4">
        <v>430</v>
      </c>
      <c r="G69" s="3">
        <v>14.6</v>
      </c>
      <c r="H69">
        <v>348</v>
      </c>
      <c r="J69" s="3">
        <v>14.6</v>
      </c>
      <c r="K69">
        <v>355</v>
      </c>
    </row>
    <row r="70" spans="1:11" ht="12.75">
      <c r="A70" s="3">
        <v>14.7</v>
      </c>
      <c r="B70" s="4">
        <v>502</v>
      </c>
      <c r="D70" s="3">
        <v>14.7</v>
      </c>
      <c r="E70" s="4">
        <v>422</v>
      </c>
      <c r="G70">
        <v>14.7</v>
      </c>
      <c r="H70">
        <v>340</v>
      </c>
      <c r="J70">
        <v>14.7</v>
      </c>
      <c r="K70">
        <v>348</v>
      </c>
    </row>
    <row r="71" spans="1:11" ht="12.75">
      <c r="A71" s="3">
        <v>14.8</v>
      </c>
      <c r="B71" s="4">
        <v>497</v>
      </c>
      <c r="D71" s="3">
        <v>14.8</v>
      </c>
      <c r="E71" s="4">
        <v>414</v>
      </c>
      <c r="G71" s="3">
        <v>14.8</v>
      </c>
      <c r="H71">
        <v>332</v>
      </c>
      <c r="J71" s="3">
        <v>14.8</v>
      </c>
      <c r="K71">
        <v>341</v>
      </c>
    </row>
    <row r="72" spans="1:11" ht="12.75">
      <c r="A72" s="3">
        <v>14.9</v>
      </c>
      <c r="B72" s="4">
        <v>489</v>
      </c>
      <c r="D72" s="3">
        <v>14.9</v>
      </c>
      <c r="E72" s="4">
        <v>406</v>
      </c>
      <c r="G72">
        <v>14.9</v>
      </c>
      <c r="H72">
        <v>325</v>
      </c>
      <c r="J72">
        <v>14.9</v>
      </c>
      <c r="K72">
        <v>334</v>
      </c>
    </row>
    <row r="73" spans="1:11" ht="12.75">
      <c r="A73" s="64">
        <v>15</v>
      </c>
      <c r="B73" s="67">
        <v>480</v>
      </c>
      <c r="C73" s="66"/>
      <c r="D73" s="64">
        <v>15</v>
      </c>
      <c r="E73" s="67">
        <v>399</v>
      </c>
      <c r="F73" s="66"/>
      <c r="G73" s="64">
        <v>15</v>
      </c>
      <c r="H73" s="66">
        <v>317</v>
      </c>
      <c r="I73" s="66"/>
      <c r="J73" s="64">
        <v>15</v>
      </c>
      <c r="K73" s="66">
        <v>327</v>
      </c>
    </row>
    <row r="74" spans="1:11" ht="12.75">
      <c r="A74" s="3">
        <v>15.1</v>
      </c>
      <c r="B74" s="4">
        <v>471</v>
      </c>
      <c r="D74" s="3">
        <v>15.1</v>
      </c>
      <c r="E74" s="4">
        <v>391</v>
      </c>
      <c r="G74">
        <v>15.1</v>
      </c>
      <c r="H74">
        <v>310</v>
      </c>
      <c r="J74">
        <v>15.1</v>
      </c>
      <c r="K74">
        <v>320</v>
      </c>
    </row>
    <row r="75" spans="1:11" ht="12.75">
      <c r="A75" s="3">
        <v>15.2</v>
      </c>
      <c r="B75" s="4">
        <v>463</v>
      </c>
      <c r="D75" s="3">
        <v>15.2</v>
      </c>
      <c r="E75" s="4">
        <v>384</v>
      </c>
      <c r="G75" s="3">
        <v>15.2</v>
      </c>
      <c r="H75">
        <v>302</v>
      </c>
      <c r="J75" s="3">
        <v>15.2</v>
      </c>
      <c r="K75">
        <v>314</v>
      </c>
    </row>
    <row r="76" spans="1:11" ht="12.75">
      <c r="A76" s="3">
        <v>15.3</v>
      </c>
      <c r="B76" s="4">
        <v>454</v>
      </c>
      <c r="D76" s="3">
        <v>15.3</v>
      </c>
      <c r="E76" s="4">
        <v>376</v>
      </c>
      <c r="G76">
        <v>15.3</v>
      </c>
      <c r="H76">
        <v>295</v>
      </c>
      <c r="J76">
        <v>15.3</v>
      </c>
      <c r="K76">
        <v>307</v>
      </c>
    </row>
    <row r="77" spans="1:11" ht="12.75">
      <c r="A77" s="3">
        <v>15.4</v>
      </c>
      <c r="B77" s="4">
        <v>446</v>
      </c>
      <c r="D77" s="3">
        <v>15.4</v>
      </c>
      <c r="E77" s="4">
        <v>369</v>
      </c>
      <c r="G77" s="3">
        <v>15.4</v>
      </c>
      <c r="H77">
        <v>288</v>
      </c>
      <c r="J77" s="3">
        <v>15.4</v>
      </c>
      <c r="K77">
        <v>301</v>
      </c>
    </row>
    <row r="78" spans="1:11" ht="12.75">
      <c r="A78" s="3">
        <v>15.5</v>
      </c>
      <c r="B78" s="4">
        <v>438</v>
      </c>
      <c r="D78" s="3">
        <v>15.5</v>
      </c>
      <c r="E78" s="4">
        <v>362</v>
      </c>
      <c r="G78">
        <v>15.5</v>
      </c>
      <c r="H78">
        <v>281</v>
      </c>
      <c r="J78">
        <v>15.5</v>
      </c>
      <c r="K78">
        <v>294</v>
      </c>
    </row>
    <row r="79" spans="1:11" ht="12.75">
      <c r="A79" s="3">
        <v>15.6</v>
      </c>
      <c r="B79" s="4">
        <v>430</v>
      </c>
      <c r="D79" s="3">
        <v>15.6</v>
      </c>
      <c r="E79" s="4">
        <v>355</v>
      </c>
      <c r="G79" s="3">
        <v>15.6</v>
      </c>
      <c r="H79">
        <v>274</v>
      </c>
      <c r="J79" s="3">
        <v>15.6</v>
      </c>
      <c r="K79">
        <v>288</v>
      </c>
    </row>
    <row r="80" spans="1:11" ht="12.75">
      <c r="A80" s="3">
        <v>15.7</v>
      </c>
      <c r="B80" s="4">
        <v>422</v>
      </c>
      <c r="D80" s="3">
        <v>15.7</v>
      </c>
      <c r="E80" s="4">
        <v>348</v>
      </c>
      <c r="G80">
        <v>15.7</v>
      </c>
      <c r="H80">
        <v>367</v>
      </c>
      <c r="J80">
        <v>15.7</v>
      </c>
      <c r="K80">
        <v>282</v>
      </c>
    </row>
    <row r="81" spans="1:11" ht="12.75">
      <c r="A81" s="3">
        <v>15.8</v>
      </c>
      <c r="B81" s="4">
        <v>414</v>
      </c>
      <c r="D81" s="3">
        <v>15.8</v>
      </c>
      <c r="E81" s="4">
        <v>341</v>
      </c>
      <c r="G81" s="3">
        <v>15.8</v>
      </c>
      <c r="H81">
        <v>260</v>
      </c>
      <c r="J81" s="3">
        <v>15.8</v>
      </c>
      <c r="K81">
        <v>275</v>
      </c>
    </row>
    <row r="82" spans="1:11" ht="12.75">
      <c r="A82" s="3">
        <v>15.9</v>
      </c>
      <c r="B82" s="4">
        <v>406</v>
      </c>
      <c r="D82" s="3">
        <v>15.9</v>
      </c>
      <c r="E82" s="4">
        <v>334</v>
      </c>
      <c r="G82">
        <v>15.9</v>
      </c>
      <c r="H82">
        <v>253</v>
      </c>
      <c r="J82">
        <v>15.9</v>
      </c>
      <c r="K82">
        <v>269</v>
      </c>
    </row>
    <row r="83" spans="1:11" ht="12.75">
      <c r="A83" s="64">
        <v>16</v>
      </c>
      <c r="B83" s="67">
        <v>399</v>
      </c>
      <c r="C83" s="66"/>
      <c r="D83" s="64">
        <v>16</v>
      </c>
      <c r="E83" s="67">
        <v>327</v>
      </c>
      <c r="F83" s="66"/>
      <c r="G83" s="64">
        <v>16</v>
      </c>
      <c r="H83" s="66">
        <v>246</v>
      </c>
      <c r="I83" s="66"/>
      <c r="J83" s="64">
        <v>16</v>
      </c>
      <c r="K83" s="66">
        <v>263</v>
      </c>
    </row>
    <row r="84" spans="1:11" ht="12.75">
      <c r="A84" s="3">
        <v>16.1</v>
      </c>
      <c r="B84" s="4">
        <v>391</v>
      </c>
      <c r="D84" s="3">
        <v>16.1</v>
      </c>
      <c r="E84" s="4">
        <v>320</v>
      </c>
      <c r="G84">
        <v>16.1</v>
      </c>
      <c r="H84">
        <v>240</v>
      </c>
      <c r="J84">
        <v>16.1</v>
      </c>
      <c r="K84">
        <v>257</v>
      </c>
    </row>
    <row r="85" spans="1:11" ht="12.75">
      <c r="A85" s="3">
        <v>16.2</v>
      </c>
      <c r="B85" s="4">
        <v>384</v>
      </c>
      <c r="D85" s="3">
        <v>16.2</v>
      </c>
      <c r="E85" s="4">
        <v>314</v>
      </c>
      <c r="G85" s="3">
        <v>16.2</v>
      </c>
      <c r="H85">
        <v>233</v>
      </c>
      <c r="J85" s="3">
        <v>16.2</v>
      </c>
      <c r="K85">
        <v>251</v>
      </c>
    </row>
    <row r="86" spans="1:11" ht="12.75">
      <c r="A86" s="3">
        <v>16.3</v>
      </c>
      <c r="B86" s="4">
        <v>376</v>
      </c>
      <c r="D86" s="3">
        <v>16.3</v>
      </c>
      <c r="E86" s="4">
        <v>307</v>
      </c>
      <c r="G86">
        <v>16.3</v>
      </c>
      <c r="H86">
        <v>226</v>
      </c>
      <c r="J86">
        <v>16.3</v>
      </c>
      <c r="K86">
        <v>246</v>
      </c>
    </row>
    <row r="87" spans="1:11" ht="12.75">
      <c r="A87" s="3">
        <v>16.4</v>
      </c>
      <c r="B87" s="4">
        <v>369</v>
      </c>
      <c r="D87" s="3">
        <v>16.4</v>
      </c>
      <c r="E87" s="4">
        <v>301</v>
      </c>
      <c r="G87" s="3">
        <v>16.4</v>
      </c>
      <c r="H87">
        <v>220</v>
      </c>
      <c r="J87" s="3">
        <v>16.4</v>
      </c>
      <c r="K87">
        <v>240</v>
      </c>
    </row>
    <row r="88" spans="1:11" ht="12.75">
      <c r="A88" s="3">
        <v>16.5</v>
      </c>
      <c r="B88" s="4">
        <v>362</v>
      </c>
      <c r="D88" s="3">
        <v>16.5</v>
      </c>
      <c r="E88" s="4">
        <v>294</v>
      </c>
      <c r="G88">
        <v>16.5</v>
      </c>
      <c r="H88">
        <v>214</v>
      </c>
      <c r="J88">
        <v>16.5</v>
      </c>
      <c r="K88">
        <v>234</v>
      </c>
    </row>
    <row r="89" spans="1:11" ht="12.75">
      <c r="A89" s="3">
        <v>16.6</v>
      </c>
      <c r="B89" s="4">
        <v>355</v>
      </c>
      <c r="D89" s="3">
        <v>16.6</v>
      </c>
      <c r="E89" s="4">
        <v>288</v>
      </c>
      <c r="G89" s="3">
        <v>16.6</v>
      </c>
      <c r="H89">
        <v>208</v>
      </c>
      <c r="J89" s="3">
        <v>16.6</v>
      </c>
      <c r="K89">
        <v>228</v>
      </c>
    </row>
    <row r="90" spans="1:11" ht="12.75">
      <c r="A90" s="3">
        <v>16.7</v>
      </c>
      <c r="B90" s="4">
        <v>348</v>
      </c>
      <c r="D90" s="3">
        <v>16.7</v>
      </c>
      <c r="E90" s="4">
        <v>282</v>
      </c>
      <c r="G90">
        <v>16.7</v>
      </c>
      <c r="H90">
        <v>201</v>
      </c>
      <c r="J90">
        <v>16.7</v>
      </c>
      <c r="K90">
        <v>223</v>
      </c>
    </row>
    <row r="91" spans="1:11" ht="12.75">
      <c r="A91" s="3">
        <v>16.8</v>
      </c>
      <c r="B91" s="4">
        <v>341</v>
      </c>
      <c r="D91" s="3">
        <v>16.8</v>
      </c>
      <c r="E91" s="4">
        <v>275</v>
      </c>
      <c r="G91" s="3">
        <v>16.8</v>
      </c>
      <c r="H91">
        <v>195</v>
      </c>
      <c r="J91" s="3">
        <v>16.8</v>
      </c>
      <c r="K91">
        <v>217</v>
      </c>
    </row>
    <row r="92" spans="1:11" ht="12.75">
      <c r="A92" s="3">
        <v>16.9</v>
      </c>
      <c r="B92" s="4">
        <v>334</v>
      </c>
      <c r="D92" s="3">
        <v>16.9</v>
      </c>
      <c r="E92" s="4">
        <v>269</v>
      </c>
      <c r="G92">
        <v>16.9</v>
      </c>
      <c r="H92">
        <v>189</v>
      </c>
      <c r="J92">
        <v>16.9</v>
      </c>
      <c r="K92">
        <v>212</v>
      </c>
    </row>
    <row r="93" spans="1:11" ht="12.75">
      <c r="A93" s="64">
        <v>17</v>
      </c>
      <c r="B93" s="67">
        <v>327</v>
      </c>
      <c r="C93" s="66"/>
      <c r="D93" s="64">
        <v>17</v>
      </c>
      <c r="E93" s="67">
        <v>263</v>
      </c>
      <c r="F93" s="66"/>
      <c r="G93" s="64">
        <v>17</v>
      </c>
      <c r="H93" s="66">
        <v>183</v>
      </c>
      <c r="I93" s="66"/>
      <c r="J93" s="64">
        <v>17</v>
      </c>
      <c r="K93" s="66">
        <v>206</v>
      </c>
    </row>
    <row r="94" spans="1:11" ht="12.75">
      <c r="A94" s="3">
        <v>17.1</v>
      </c>
      <c r="B94" s="4">
        <v>320</v>
      </c>
      <c r="D94" s="3">
        <v>17.1</v>
      </c>
      <c r="E94" s="4">
        <v>257</v>
      </c>
      <c r="G94">
        <v>17.1</v>
      </c>
      <c r="H94">
        <v>178</v>
      </c>
      <c r="J94">
        <v>17.1</v>
      </c>
      <c r="K94">
        <v>201</v>
      </c>
    </row>
    <row r="95" spans="1:11" ht="12.75">
      <c r="A95" s="3">
        <v>17.2</v>
      </c>
      <c r="B95" s="4">
        <v>314</v>
      </c>
      <c r="D95" s="3">
        <v>17.2</v>
      </c>
      <c r="E95" s="4">
        <v>251</v>
      </c>
      <c r="G95" s="3">
        <v>17.2</v>
      </c>
      <c r="H95">
        <v>172</v>
      </c>
      <c r="J95" s="3">
        <v>17.2</v>
      </c>
      <c r="K95">
        <v>196</v>
      </c>
    </row>
    <row r="96" spans="1:11" ht="12.75">
      <c r="A96" s="3">
        <v>17.3</v>
      </c>
      <c r="B96" s="4">
        <v>307</v>
      </c>
      <c r="D96" s="3">
        <v>17.3</v>
      </c>
      <c r="E96" s="4">
        <v>246</v>
      </c>
      <c r="G96">
        <v>17.3</v>
      </c>
      <c r="H96">
        <v>166</v>
      </c>
      <c r="J96">
        <v>17.3</v>
      </c>
      <c r="K96">
        <v>190</v>
      </c>
    </row>
    <row r="97" spans="1:11" ht="12.75">
      <c r="A97" s="3">
        <v>17.4</v>
      </c>
      <c r="B97" s="4">
        <v>301</v>
      </c>
      <c r="D97" s="3">
        <v>17.4</v>
      </c>
      <c r="E97" s="4">
        <v>240</v>
      </c>
      <c r="G97" s="3">
        <v>17.4</v>
      </c>
      <c r="H97">
        <v>161</v>
      </c>
      <c r="J97" s="3">
        <v>17.4</v>
      </c>
      <c r="K97">
        <v>185</v>
      </c>
    </row>
    <row r="98" spans="1:11" ht="12.75">
      <c r="A98" s="3">
        <v>17.5</v>
      </c>
      <c r="B98" s="4">
        <v>294</v>
      </c>
      <c r="D98" s="3">
        <v>17.5</v>
      </c>
      <c r="E98" s="4">
        <v>234</v>
      </c>
      <c r="G98">
        <v>17.5</v>
      </c>
      <c r="H98">
        <v>155</v>
      </c>
      <c r="J98">
        <v>17.5</v>
      </c>
      <c r="K98">
        <v>180</v>
      </c>
    </row>
    <row r="99" spans="1:11" ht="12.75">
      <c r="A99" s="3">
        <v>17.6</v>
      </c>
      <c r="B99" s="4">
        <v>288</v>
      </c>
      <c r="D99" s="3">
        <v>17.6</v>
      </c>
      <c r="E99" s="4">
        <v>228</v>
      </c>
      <c r="G99" s="3">
        <v>17.6</v>
      </c>
      <c r="H99">
        <v>150</v>
      </c>
      <c r="J99" s="3">
        <v>17.6</v>
      </c>
      <c r="K99">
        <v>175</v>
      </c>
    </row>
    <row r="100" spans="1:11" ht="12.75">
      <c r="A100" s="3">
        <v>17.7</v>
      </c>
      <c r="B100" s="4">
        <v>282</v>
      </c>
      <c r="D100" s="3">
        <v>17.7</v>
      </c>
      <c r="E100" s="4">
        <v>223</v>
      </c>
      <c r="G100">
        <v>17.7</v>
      </c>
      <c r="H100">
        <v>145</v>
      </c>
      <c r="J100">
        <v>17.7</v>
      </c>
      <c r="K100">
        <v>170</v>
      </c>
    </row>
    <row r="101" spans="1:11" ht="12.75">
      <c r="A101" s="3">
        <v>17.8</v>
      </c>
      <c r="B101" s="4">
        <v>275</v>
      </c>
      <c r="D101" s="3">
        <v>17.8</v>
      </c>
      <c r="E101" s="4">
        <v>217</v>
      </c>
      <c r="G101" s="3">
        <v>17.8</v>
      </c>
      <c r="H101">
        <v>139</v>
      </c>
      <c r="J101" s="3">
        <v>17.8</v>
      </c>
      <c r="K101">
        <v>165</v>
      </c>
    </row>
    <row r="102" spans="1:11" ht="12.75">
      <c r="A102" s="3">
        <v>17.9</v>
      </c>
      <c r="B102" s="4">
        <v>269</v>
      </c>
      <c r="D102" s="3">
        <v>17.9</v>
      </c>
      <c r="E102" s="4">
        <v>212</v>
      </c>
      <c r="G102">
        <v>17.9</v>
      </c>
      <c r="H102">
        <v>134</v>
      </c>
      <c r="J102">
        <v>17.9</v>
      </c>
      <c r="K102">
        <v>160</v>
      </c>
    </row>
    <row r="103" spans="1:11" ht="12.75">
      <c r="A103" s="64">
        <v>18</v>
      </c>
      <c r="B103" s="67">
        <v>263</v>
      </c>
      <c r="C103" s="66"/>
      <c r="D103" s="64">
        <v>18</v>
      </c>
      <c r="E103" s="67">
        <v>206</v>
      </c>
      <c r="F103" s="66"/>
      <c r="G103" s="64">
        <v>18</v>
      </c>
      <c r="H103" s="66">
        <v>129</v>
      </c>
      <c r="I103" s="66"/>
      <c r="J103" s="64">
        <v>18</v>
      </c>
      <c r="K103" s="66">
        <v>155</v>
      </c>
    </row>
    <row r="104" spans="1:11" ht="12.75">
      <c r="A104" s="3">
        <v>18.1</v>
      </c>
      <c r="B104" s="4">
        <v>257</v>
      </c>
      <c r="D104" s="3">
        <v>18.1</v>
      </c>
      <c r="E104" s="4">
        <v>201</v>
      </c>
      <c r="G104">
        <v>18.1</v>
      </c>
      <c r="H104">
        <v>124</v>
      </c>
      <c r="J104">
        <v>18.1</v>
      </c>
      <c r="K104">
        <v>150</v>
      </c>
    </row>
    <row r="105" spans="1:11" ht="12.75">
      <c r="A105" s="3">
        <v>18.2</v>
      </c>
      <c r="B105" s="4">
        <v>251</v>
      </c>
      <c r="D105" s="3">
        <v>18.2</v>
      </c>
      <c r="E105" s="4">
        <v>196</v>
      </c>
      <c r="G105" s="3">
        <v>18.2</v>
      </c>
      <c r="H105">
        <v>119</v>
      </c>
      <c r="J105" s="3">
        <v>18.2</v>
      </c>
      <c r="K105">
        <v>146</v>
      </c>
    </row>
    <row r="106" spans="1:11" ht="12.75">
      <c r="A106" s="3">
        <v>18.3</v>
      </c>
      <c r="B106" s="4">
        <v>246</v>
      </c>
      <c r="D106" s="3">
        <v>18.3</v>
      </c>
      <c r="E106" s="4">
        <v>190</v>
      </c>
      <c r="G106">
        <v>18.3</v>
      </c>
      <c r="H106">
        <v>115</v>
      </c>
      <c r="J106">
        <v>18.3</v>
      </c>
      <c r="K106">
        <v>141</v>
      </c>
    </row>
    <row r="107" spans="1:11" ht="12.75">
      <c r="A107" s="3">
        <v>18.4</v>
      </c>
      <c r="B107" s="4">
        <v>240</v>
      </c>
      <c r="D107" s="3">
        <v>18.4</v>
      </c>
      <c r="E107" s="4">
        <v>185</v>
      </c>
      <c r="G107" s="3">
        <v>18.4</v>
      </c>
      <c r="H107">
        <v>110</v>
      </c>
      <c r="J107" s="3">
        <v>18.4</v>
      </c>
      <c r="K107">
        <v>136</v>
      </c>
    </row>
    <row r="108" spans="1:11" ht="12.75">
      <c r="A108" s="3">
        <v>18.5</v>
      </c>
      <c r="B108" s="4">
        <v>234</v>
      </c>
      <c r="D108" s="3">
        <v>18.5</v>
      </c>
      <c r="E108" s="4">
        <v>180</v>
      </c>
      <c r="G108">
        <v>18.5</v>
      </c>
      <c r="H108">
        <v>105</v>
      </c>
      <c r="J108">
        <v>18.5</v>
      </c>
      <c r="K108">
        <v>131</v>
      </c>
    </row>
    <row r="109" spans="1:11" ht="12.75">
      <c r="A109" s="3">
        <v>18.6</v>
      </c>
      <c r="B109" s="4">
        <v>228</v>
      </c>
      <c r="D109" s="3">
        <v>18.6</v>
      </c>
      <c r="E109" s="4">
        <v>175</v>
      </c>
      <c r="G109" s="3">
        <v>18.6</v>
      </c>
      <c r="H109">
        <v>101</v>
      </c>
      <c r="J109" s="3">
        <v>18.6</v>
      </c>
      <c r="K109">
        <v>127</v>
      </c>
    </row>
    <row r="110" spans="1:11" ht="12.75">
      <c r="A110" s="3">
        <v>18.7</v>
      </c>
      <c r="B110" s="4">
        <v>223</v>
      </c>
      <c r="D110" s="3">
        <v>18.7</v>
      </c>
      <c r="E110" s="4">
        <v>170</v>
      </c>
      <c r="G110">
        <v>18.7</v>
      </c>
      <c r="H110">
        <v>96</v>
      </c>
      <c r="J110">
        <v>18.7</v>
      </c>
      <c r="K110">
        <v>122</v>
      </c>
    </row>
    <row r="111" spans="1:11" ht="12.75">
      <c r="A111" s="3">
        <v>18.8</v>
      </c>
      <c r="B111" s="4">
        <v>217</v>
      </c>
      <c r="D111" s="3">
        <v>18.8</v>
      </c>
      <c r="E111" s="4">
        <v>165</v>
      </c>
      <c r="G111" s="3">
        <v>18.8</v>
      </c>
      <c r="H111">
        <v>92</v>
      </c>
      <c r="J111" s="3">
        <v>18.8</v>
      </c>
      <c r="K111">
        <v>118</v>
      </c>
    </row>
    <row r="112" spans="1:11" ht="12.75">
      <c r="A112" s="3">
        <v>18.9</v>
      </c>
      <c r="B112" s="4">
        <v>212</v>
      </c>
      <c r="D112" s="3">
        <v>18.9</v>
      </c>
      <c r="E112" s="4">
        <v>160</v>
      </c>
      <c r="G112">
        <v>18.9</v>
      </c>
      <c r="H112">
        <v>88</v>
      </c>
      <c r="J112">
        <v>18.9</v>
      </c>
      <c r="K112">
        <v>113</v>
      </c>
    </row>
    <row r="113" spans="1:11" ht="12.75">
      <c r="A113" s="64">
        <v>19</v>
      </c>
      <c r="B113" s="67">
        <v>206</v>
      </c>
      <c r="C113" s="66"/>
      <c r="D113" s="64">
        <v>19</v>
      </c>
      <c r="E113" s="67">
        <v>155</v>
      </c>
      <c r="F113" s="66"/>
      <c r="G113" s="64">
        <v>19</v>
      </c>
      <c r="H113" s="66">
        <v>84</v>
      </c>
      <c r="I113" s="66"/>
      <c r="J113" s="64">
        <v>19</v>
      </c>
      <c r="K113" s="66">
        <v>109</v>
      </c>
    </row>
    <row r="114" spans="1:11" ht="12.75">
      <c r="A114" s="3">
        <v>19.1</v>
      </c>
      <c r="B114" s="4">
        <v>201</v>
      </c>
      <c r="D114" s="3">
        <v>19.1</v>
      </c>
      <c r="E114" s="4">
        <v>150</v>
      </c>
      <c r="G114">
        <v>19.1</v>
      </c>
      <c r="H114">
        <v>80</v>
      </c>
      <c r="J114">
        <v>19.1</v>
      </c>
      <c r="K114">
        <v>104</v>
      </c>
    </row>
    <row r="115" spans="1:11" ht="12.75">
      <c r="A115" s="3">
        <v>19.2</v>
      </c>
      <c r="B115" s="4">
        <v>196</v>
      </c>
      <c r="D115" s="3">
        <v>19.2</v>
      </c>
      <c r="E115" s="4">
        <v>146</v>
      </c>
      <c r="G115" s="3">
        <v>19.2</v>
      </c>
      <c r="H115">
        <v>76</v>
      </c>
      <c r="J115" s="3">
        <v>19.2</v>
      </c>
      <c r="K115">
        <v>100</v>
      </c>
    </row>
    <row r="116" spans="1:11" ht="12.75">
      <c r="A116" s="3">
        <v>19.3</v>
      </c>
      <c r="B116" s="4">
        <v>190</v>
      </c>
      <c r="D116" s="3">
        <v>19.3</v>
      </c>
      <c r="E116" s="4">
        <v>141</v>
      </c>
      <c r="G116">
        <v>19.3</v>
      </c>
      <c r="H116">
        <v>72</v>
      </c>
      <c r="J116">
        <v>19.3</v>
      </c>
      <c r="K116">
        <v>96</v>
      </c>
    </row>
    <row r="117" spans="1:11" ht="12.75">
      <c r="A117" s="3">
        <v>19.4</v>
      </c>
      <c r="B117" s="4">
        <v>185</v>
      </c>
      <c r="D117" s="3">
        <v>19.4</v>
      </c>
      <c r="E117" s="4">
        <v>136</v>
      </c>
      <c r="G117" s="3">
        <v>19.4</v>
      </c>
      <c r="H117">
        <v>68</v>
      </c>
      <c r="J117" s="3">
        <v>19.4</v>
      </c>
      <c r="K117">
        <v>92</v>
      </c>
    </row>
    <row r="118" spans="1:11" ht="12.75">
      <c r="A118" s="3">
        <v>19.5</v>
      </c>
      <c r="B118" s="4">
        <v>180</v>
      </c>
      <c r="D118" s="3">
        <v>19.5</v>
      </c>
      <c r="E118" s="4">
        <v>131</v>
      </c>
      <c r="G118">
        <v>19.5</v>
      </c>
      <c r="H118">
        <v>64</v>
      </c>
      <c r="J118">
        <v>19.5</v>
      </c>
      <c r="K118">
        <v>87</v>
      </c>
    </row>
    <row r="119" spans="1:11" ht="12.75">
      <c r="A119" s="3">
        <v>19.6</v>
      </c>
      <c r="B119" s="4">
        <v>175</v>
      </c>
      <c r="D119" s="3">
        <v>19.6</v>
      </c>
      <c r="E119" s="4">
        <v>127</v>
      </c>
      <c r="G119" s="3">
        <v>19.6</v>
      </c>
      <c r="H119">
        <v>61</v>
      </c>
      <c r="J119" s="3">
        <v>19.6</v>
      </c>
      <c r="K119">
        <v>83</v>
      </c>
    </row>
    <row r="120" spans="1:11" ht="12.75">
      <c r="A120" s="3">
        <v>19.7</v>
      </c>
      <c r="B120" s="4">
        <v>170</v>
      </c>
      <c r="D120" s="3">
        <v>19.7</v>
      </c>
      <c r="E120" s="4">
        <v>122</v>
      </c>
      <c r="G120">
        <v>19.7</v>
      </c>
      <c r="H120">
        <v>57</v>
      </c>
      <c r="J120">
        <v>19.7</v>
      </c>
      <c r="K120">
        <v>79</v>
      </c>
    </row>
    <row r="121" spans="1:11" ht="12.75">
      <c r="A121" s="3">
        <v>19.8</v>
      </c>
      <c r="B121" s="4">
        <v>165</v>
      </c>
      <c r="D121" s="3">
        <v>19.8</v>
      </c>
      <c r="E121" s="4">
        <v>118</v>
      </c>
      <c r="G121" s="3">
        <v>19.8</v>
      </c>
      <c r="H121">
        <v>54</v>
      </c>
      <c r="J121" s="3">
        <v>19.8</v>
      </c>
      <c r="K121">
        <v>75</v>
      </c>
    </row>
    <row r="122" spans="1:11" ht="12.75">
      <c r="A122" s="3">
        <v>19.9</v>
      </c>
      <c r="B122" s="4">
        <v>160</v>
      </c>
      <c r="D122" s="3">
        <v>19.9</v>
      </c>
      <c r="E122" s="4">
        <v>113</v>
      </c>
      <c r="G122">
        <v>19.9</v>
      </c>
      <c r="H122">
        <v>51</v>
      </c>
      <c r="J122">
        <v>19.9</v>
      </c>
      <c r="K122">
        <v>71</v>
      </c>
    </row>
    <row r="123" spans="1:11" ht="12.75">
      <c r="A123" s="64">
        <v>20</v>
      </c>
      <c r="B123" s="67">
        <v>155</v>
      </c>
      <c r="C123" s="66"/>
      <c r="D123" s="64">
        <v>20</v>
      </c>
      <c r="E123" s="67">
        <v>109</v>
      </c>
      <c r="F123" s="66"/>
      <c r="G123" s="64">
        <v>20</v>
      </c>
      <c r="H123" s="66">
        <v>47</v>
      </c>
      <c r="I123" s="66"/>
      <c r="J123" s="64">
        <v>20</v>
      </c>
      <c r="K123" s="66">
        <v>67</v>
      </c>
    </row>
    <row r="124" spans="1:11" ht="12.75">
      <c r="A124" s="3">
        <v>20.1</v>
      </c>
      <c r="B124" s="4">
        <v>150</v>
      </c>
      <c r="D124" s="3">
        <v>20.1</v>
      </c>
      <c r="E124" s="4">
        <v>104</v>
      </c>
      <c r="G124">
        <v>20.1</v>
      </c>
      <c r="H124">
        <v>44</v>
      </c>
      <c r="J124">
        <v>20.1</v>
      </c>
      <c r="K124">
        <v>63</v>
      </c>
    </row>
    <row r="125" spans="1:11" ht="12.75">
      <c r="A125" s="3">
        <v>20.2</v>
      </c>
      <c r="B125" s="4">
        <v>146</v>
      </c>
      <c r="D125" s="3">
        <v>20.2</v>
      </c>
      <c r="E125" s="4">
        <v>100</v>
      </c>
      <c r="G125" s="3">
        <v>20.2</v>
      </c>
      <c r="H125">
        <v>41</v>
      </c>
      <c r="J125" s="3">
        <v>20.2</v>
      </c>
      <c r="K125">
        <v>59</v>
      </c>
    </row>
    <row r="126" spans="1:11" ht="12.75">
      <c r="A126" s="3">
        <v>20.3</v>
      </c>
      <c r="B126" s="4">
        <v>141</v>
      </c>
      <c r="D126" s="3">
        <v>20.3</v>
      </c>
      <c r="E126" s="4">
        <v>96</v>
      </c>
      <c r="G126">
        <v>20.3</v>
      </c>
      <c r="H126">
        <v>38</v>
      </c>
      <c r="J126">
        <v>20.3</v>
      </c>
      <c r="K126">
        <v>55</v>
      </c>
    </row>
    <row r="127" spans="1:11" ht="12.75">
      <c r="A127" s="3">
        <v>20.4</v>
      </c>
      <c r="B127" s="4">
        <v>136</v>
      </c>
      <c r="D127" s="3">
        <v>20.4</v>
      </c>
      <c r="E127" s="4">
        <v>92</v>
      </c>
      <c r="G127" s="3">
        <v>20.4</v>
      </c>
      <c r="H127">
        <v>36</v>
      </c>
      <c r="J127" s="3">
        <v>20.4</v>
      </c>
      <c r="K127">
        <v>51</v>
      </c>
    </row>
    <row r="128" spans="1:11" ht="12.75">
      <c r="A128" s="3">
        <v>20.5</v>
      </c>
      <c r="B128" s="4">
        <v>131</v>
      </c>
      <c r="D128" s="3">
        <v>20.5</v>
      </c>
      <c r="E128" s="4">
        <v>87</v>
      </c>
      <c r="G128">
        <v>20.5</v>
      </c>
      <c r="H128">
        <v>33</v>
      </c>
      <c r="J128">
        <v>20.5</v>
      </c>
      <c r="K128">
        <v>47</v>
      </c>
    </row>
    <row r="129" spans="1:11" ht="12.75">
      <c r="A129" s="3">
        <v>20.6</v>
      </c>
      <c r="B129" s="4">
        <v>127</v>
      </c>
      <c r="D129" s="3">
        <v>20.6</v>
      </c>
      <c r="E129" s="4">
        <v>83</v>
      </c>
      <c r="G129" s="3">
        <v>20.6</v>
      </c>
      <c r="H129">
        <v>30</v>
      </c>
      <c r="J129" s="3">
        <v>20.6</v>
      </c>
      <c r="K129">
        <v>43</v>
      </c>
    </row>
    <row r="130" spans="1:11" ht="12.75">
      <c r="A130" s="3">
        <v>20.7</v>
      </c>
      <c r="B130" s="4">
        <v>122</v>
      </c>
      <c r="D130" s="3">
        <v>20.7</v>
      </c>
      <c r="E130" s="4">
        <v>79</v>
      </c>
      <c r="G130">
        <v>20.7</v>
      </c>
      <c r="H130">
        <v>28</v>
      </c>
      <c r="J130">
        <v>20.7</v>
      </c>
      <c r="K130">
        <v>39</v>
      </c>
    </row>
    <row r="131" spans="1:11" ht="12.75">
      <c r="A131" s="3">
        <v>20.8</v>
      </c>
      <c r="B131" s="4">
        <v>118</v>
      </c>
      <c r="D131" s="3">
        <v>20.8</v>
      </c>
      <c r="E131" s="4">
        <v>75</v>
      </c>
      <c r="G131" s="3">
        <v>20.8</v>
      </c>
      <c r="H131">
        <v>25</v>
      </c>
      <c r="J131" s="3">
        <v>20.8</v>
      </c>
      <c r="K131">
        <v>36</v>
      </c>
    </row>
    <row r="132" spans="1:11" ht="12.75">
      <c r="A132" s="3">
        <v>20.9</v>
      </c>
      <c r="B132" s="4">
        <v>113</v>
      </c>
      <c r="D132" s="3">
        <v>20.9</v>
      </c>
      <c r="E132" s="4">
        <v>71</v>
      </c>
      <c r="G132">
        <v>20.9</v>
      </c>
      <c r="H132">
        <v>23</v>
      </c>
      <c r="J132">
        <v>20.9</v>
      </c>
      <c r="K132">
        <v>32</v>
      </c>
    </row>
    <row r="133" spans="1:11" ht="12.75">
      <c r="A133" s="64">
        <v>21</v>
      </c>
      <c r="B133" s="67">
        <v>109</v>
      </c>
      <c r="C133" s="66"/>
      <c r="D133" s="64">
        <v>21</v>
      </c>
      <c r="E133" s="67">
        <v>67</v>
      </c>
      <c r="F133" s="66"/>
      <c r="G133" s="64">
        <v>21</v>
      </c>
      <c r="H133" s="66">
        <v>21</v>
      </c>
      <c r="I133" s="66"/>
      <c r="J133" s="64">
        <v>21</v>
      </c>
      <c r="K133" s="66">
        <v>28</v>
      </c>
    </row>
    <row r="134" spans="1:11" ht="12.75">
      <c r="A134" s="3">
        <v>21.1</v>
      </c>
      <c r="B134" s="4">
        <v>104</v>
      </c>
      <c r="D134" s="3">
        <v>21.1</v>
      </c>
      <c r="E134" s="4">
        <v>63</v>
      </c>
      <c r="G134">
        <v>21.1</v>
      </c>
      <c r="H134">
        <v>19</v>
      </c>
      <c r="J134">
        <v>21.1</v>
      </c>
      <c r="K134">
        <v>25</v>
      </c>
    </row>
    <row r="135" spans="1:11" ht="12.75">
      <c r="A135" s="3">
        <v>21.2</v>
      </c>
      <c r="B135" s="4">
        <v>100</v>
      </c>
      <c r="D135" s="3">
        <v>21.2</v>
      </c>
      <c r="E135" s="4">
        <v>59</v>
      </c>
      <c r="G135" s="3">
        <v>21.2</v>
      </c>
      <c r="H135">
        <v>15</v>
      </c>
      <c r="J135" s="3">
        <v>21.2</v>
      </c>
      <c r="K135">
        <v>21</v>
      </c>
    </row>
    <row r="136" spans="1:11" ht="12.75">
      <c r="A136" s="3">
        <v>21.3</v>
      </c>
      <c r="B136" s="4">
        <v>96</v>
      </c>
      <c r="D136" s="3">
        <v>21.3</v>
      </c>
      <c r="E136" s="4">
        <v>55</v>
      </c>
      <c r="G136">
        <v>21.3</v>
      </c>
      <c r="H136">
        <v>15</v>
      </c>
      <c r="J136">
        <v>21.3</v>
      </c>
      <c r="K136">
        <v>17</v>
      </c>
    </row>
    <row r="137" spans="1:11" ht="12.75">
      <c r="A137" s="3">
        <v>21.4</v>
      </c>
      <c r="B137" s="4">
        <v>92</v>
      </c>
      <c r="D137" s="3">
        <v>21.4</v>
      </c>
      <c r="E137" s="4">
        <v>51</v>
      </c>
      <c r="G137" s="3">
        <v>21.4</v>
      </c>
      <c r="H137">
        <v>13</v>
      </c>
      <c r="J137" s="3">
        <v>21.4</v>
      </c>
      <c r="K137">
        <v>14</v>
      </c>
    </row>
    <row r="138" spans="1:11" ht="12.75">
      <c r="A138" s="3">
        <v>21.5</v>
      </c>
      <c r="B138" s="4">
        <v>87</v>
      </c>
      <c r="D138" s="3">
        <v>21.5</v>
      </c>
      <c r="E138" s="4">
        <v>47</v>
      </c>
      <c r="G138">
        <v>21.5</v>
      </c>
      <c r="H138">
        <v>11</v>
      </c>
      <c r="J138">
        <v>21.5</v>
      </c>
      <c r="K138">
        <v>10</v>
      </c>
    </row>
    <row r="139" spans="1:11" ht="12.75">
      <c r="A139" s="3">
        <v>21.6</v>
      </c>
      <c r="B139" s="4">
        <v>83</v>
      </c>
      <c r="D139" s="3">
        <v>21.6</v>
      </c>
      <c r="E139" s="4">
        <v>43</v>
      </c>
      <c r="G139" s="3">
        <v>21.6</v>
      </c>
      <c r="H139">
        <v>10</v>
      </c>
      <c r="J139" s="3">
        <v>21.6</v>
      </c>
      <c r="K139">
        <v>7</v>
      </c>
    </row>
    <row r="140" spans="1:11" ht="12.75">
      <c r="A140" s="3">
        <v>21.7</v>
      </c>
      <c r="B140" s="4">
        <v>79</v>
      </c>
      <c r="D140" s="3">
        <v>21.7</v>
      </c>
      <c r="E140" s="4">
        <v>39</v>
      </c>
      <c r="G140">
        <v>21.7</v>
      </c>
      <c r="H140">
        <v>8</v>
      </c>
      <c r="J140">
        <v>21.7</v>
      </c>
      <c r="K140">
        <v>3</v>
      </c>
    </row>
    <row r="141" spans="1:11" ht="12.75">
      <c r="A141" s="3">
        <v>21.8</v>
      </c>
      <c r="B141" s="4">
        <v>75</v>
      </c>
      <c r="D141" s="3">
        <v>21.8</v>
      </c>
      <c r="E141" s="4">
        <v>36</v>
      </c>
      <c r="G141" s="3">
        <v>21.8</v>
      </c>
      <c r="H141">
        <v>7</v>
      </c>
      <c r="J141" s="3">
        <v>21.8</v>
      </c>
      <c r="K141">
        <v>0</v>
      </c>
    </row>
    <row r="142" spans="1:11" ht="12.75">
      <c r="A142" s="3">
        <v>21.9</v>
      </c>
      <c r="B142" s="4">
        <v>71</v>
      </c>
      <c r="D142" s="3">
        <v>21.9</v>
      </c>
      <c r="E142" s="4">
        <v>32</v>
      </c>
      <c r="G142">
        <v>21.9</v>
      </c>
      <c r="H142">
        <v>6</v>
      </c>
      <c r="J142">
        <v>21.9</v>
      </c>
      <c r="K142">
        <v>0</v>
      </c>
    </row>
    <row r="143" spans="1:11" ht="12.75">
      <c r="A143" s="64">
        <v>22</v>
      </c>
      <c r="B143" s="67">
        <v>67</v>
      </c>
      <c r="C143" s="66"/>
      <c r="D143" s="64">
        <v>22</v>
      </c>
      <c r="E143" s="67">
        <v>28</v>
      </c>
      <c r="F143" s="66"/>
      <c r="G143" s="64">
        <v>22</v>
      </c>
      <c r="H143" s="66">
        <v>5</v>
      </c>
      <c r="I143" s="66"/>
      <c r="J143" s="66"/>
      <c r="K143" s="66"/>
    </row>
    <row r="144" spans="1:8" ht="12.75">
      <c r="A144" s="3">
        <v>22.1</v>
      </c>
      <c r="B144" s="4">
        <v>63</v>
      </c>
      <c r="D144" s="3">
        <v>22.1</v>
      </c>
      <c r="E144" s="4">
        <v>25</v>
      </c>
      <c r="G144">
        <v>22.0999999999999</v>
      </c>
      <c r="H144">
        <v>4</v>
      </c>
    </row>
    <row r="145" spans="1:8" ht="12.75">
      <c r="A145" s="3">
        <v>22.2</v>
      </c>
      <c r="B145" s="4">
        <v>59</v>
      </c>
      <c r="D145" s="3">
        <v>22.2</v>
      </c>
      <c r="E145" s="4">
        <v>21</v>
      </c>
      <c r="G145" s="3">
        <v>22.1999999999999</v>
      </c>
      <c r="H145">
        <v>3</v>
      </c>
    </row>
    <row r="146" spans="1:8" ht="12.75">
      <c r="A146" s="3">
        <v>22.3</v>
      </c>
      <c r="B146" s="4">
        <v>55</v>
      </c>
      <c r="D146" s="3">
        <v>22.3</v>
      </c>
      <c r="E146" s="4">
        <v>17</v>
      </c>
      <c r="G146">
        <v>22.2999999999999</v>
      </c>
      <c r="H146">
        <v>2</v>
      </c>
    </row>
    <row r="147" spans="1:8" ht="12.75">
      <c r="A147" s="3">
        <v>22.4</v>
      </c>
      <c r="B147" s="4">
        <v>51</v>
      </c>
      <c r="D147" s="3">
        <v>22.4</v>
      </c>
      <c r="E147" s="4">
        <v>14</v>
      </c>
      <c r="G147" s="3">
        <v>22.3999999999999</v>
      </c>
      <c r="H147">
        <v>1</v>
      </c>
    </row>
    <row r="148" spans="1:8" ht="12.75">
      <c r="A148" s="3">
        <v>22.5</v>
      </c>
      <c r="B148" s="4">
        <v>47</v>
      </c>
      <c r="D148" s="3">
        <v>22.5</v>
      </c>
      <c r="E148" s="4">
        <v>10</v>
      </c>
      <c r="G148">
        <v>22.4999999999999</v>
      </c>
      <c r="H148">
        <v>1</v>
      </c>
    </row>
    <row r="149" spans="1:8" ht="12.75">
      <c r="A149" s="3">
        <v>22.6</v>
      </c>
      <c r="B149" s="4">
        <v>43</v>
      </c>
      <c r="D149" s="3">
        <v>22.6</v>
      </c>
      <c r="E149" s="4">
        <v>7</v>
      </c>
      <c r="G149" s="3">
        <v>22.5999999999999</v>
      </c>
      <c r="H149">
        <v>1</v>
      </c>
    </row>
    <row r="150" spans="1:8" ht="12.75">
      <c r="A150" s="3">
        <v>22.7</v>
      </c>
      <c r="B150" s="4">
        <v>39</v>
      </c>
      <c r="D150" s="3">
        <v>22.7</v>
      </c>
      <c r="E150" s="4">
        <v>3</v>
      </c>
      <c r="G150">
        <v>22.7</v>
      </c>
      <c r="H150">
        <v>0</v>
      </c>
    </row>
    <row r="151" spans="1:5" ht="12.75">
      <c r="A151" s="3">
        <v>22.8</v>
      </c>
      <c r="B151" s="4">
        <v>36</v>
      </c>
      <c r="D151" s="3">
        <v>22.8</v>
      </c>
      <c r="E151" s="5" t="s">
        <v>6</v>
      </c>
    </row>
    <row r="152" spans="1:5" ht="12.75">
      <c r="A152" s="3">
        <v>22.9</v>
      </c>
      <c r="B152" s="4">
        <v>32</v>
      </c>
      <c r="D152" s="3">
        <v>22.9</v>
      </c>
      <c r="E152" s="5" t="s">
        <v>6</v>
      </c>
    </row>
    <row r="153" spans="1:11" ht="12.75">
      <c r="A153" s="64">
        <v>23</v>
      </c>
      <c r="B153" s="67">
        <v>28</v>
      </c>
      <c r="C153" s="66"/>
      <c r="D153" s="64">
        <v>23</v>
      </c>
      <c r="E153" s="65" t="s">
        <v>6</v>
      </c>
      <c r="F153" s="66"/>
      <c r="G153" s="66"/>
      <c r="H153" s="66"/>
      <c r="I153" s="66"/>
      <c r="J153" s="66"/>
      <c r="K153" s="66"/>
    </row>
    <row r="154" spans="1:5" ht="12.75">
      <c r="A154" s="3">
        <v>23.1</v>
      </c>
      <c r="B154" s="4">
        <v>25</v>
      </c>
      <c r="D154" s="3">
        <v>23.1</v>
      </c>
      <c r="E154" s="5" t="s">
        <v>6</v>
      </c>
    </row>
    <row r="155" spans="1:5" ht="12.75">
      <c r="A155" s="3">
        <v>23.2</v>
      </c>
      <c r="B155" s="4">
        <v>21</v>
      </c>
      <c r="D155" s="3">
        <v>23.2</v>
      </c>
      <c r="E155" s="5" t="s">
        <v>6</v>
      </c>
    </row>
    <row r="156" spans="1:5" ht="12.75">
      <c r="A156" s="3">
        <v>23.3</v>
      </c>
      <c r="B156" s="4">
        <v>17</v>
      </c>
      <c r="D156" s="3">
        <v>23.3</v>
      </c>
      <c r="E156" s="5" t="s">
        <v>6</v>
      </c>
    </row>
    <row r="157" spans="1:2" ht="12.75">
      <c r="A157" s="3">
        <v>23.4</v>
      </c>
      <c r="B157" s="4">
        <v>14</v>
      </c>
    </row>
    <row r="158" spans="1:2" ht="12.75">
      <c r="A158" s="3">
        <v>23.5</v>
      </c>
      <c r="B158" s="4">
        <v>10</v>
      </c>
    </row>
    <row r="159" spans="1:2" ht="12.75">
      <c r="A159" s="3">
        <v>23.6</v>
      </c>
      <c r="B159" s="4">
        <v>7</v>
      </c>
    </row>
    <row r="160" spans="1:2" ht="12.75">
      <c r="A160" s="3">
        <v>23.7</v>
      </c>
      <c r="B160" s="4">
        <v>3</v>
      </c>
    </row>
    <row r="161" spans="1:2" ht="12.75">
      <c r="A161" s="3">
        <v>23.8</v>
      </c>
      <c r="B161" s="5" t="s">
        <v>6</v>
      </c>
    </row>
    <row r="162" spans="1:2" ht="12.75">
      <c r="A162" s="3">
        <v>23.9</v>
      </c>
      <c r="B162" s="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3"/>
  <sheetViews>
    <sheetView zoomScale="140" zoomScaleNormal="140" zoomScalePageLayoutView="0" workbookViewId="0" topLeftCell="A1">
      <selection activeCell="Y16" sqref="Y16"/>
    </sheetView>
  </sheetViews>
  <sheetFormatPr defaultColWidth="9.140625" defaultRowHeight="12.75"/>
  <cols>
    <col min="1" max="2" width="7.7109375" style="0" customWidth="1"/>
    <col min="3" max="3" width="4.7109375" style="0" customWidth="1"/>
    <col min="4" max="4" width="19.7109375" style="0" customWidth="1"/>
    <col min="5" max="5" width="13.7109375" style="0" customWidth="1"/>
    <col min="6" max="6" width="0.85546875" style="0" customWidth="1"/>
    <col min="7" max="7" width="7.7109375" style="0" customWidth="1"/>
    <col min="8" max="8" width="0.85546875" style="0" customWidth="1"/>
    <col min="9" max="9" width="7.7109375" style="0" customWidth="1"/>
    <col min="10" max="10" width="0.85546875" style="0" customWidth="1"/>
    <col min="11" max="11" width="7.7109375" style="0" customWidth="1"/>
    <col min="12" max="12" width="0.85546875" style="0" customWidth="1"/>
    <col min="13" max="13" width="7.7109375" style="0" customWidth="1"/>
    <col min="14" max="14" width="0.85546875" style="0" customWidth="1"/>
    <col min="15" max="15" width="2.57421875" style="0" customWidth="1"/>
    <col min="16" max="16" width="0.85546875" style="0" customWidth="1"/>
    <col min="17" max="17" width="5.421875" style="0" customWidth="1"/>
    <col min="18" max="18" width="0.85546875" style="0" customWidth="1"/>
    <col min="19" max="19" width="7.7109375" style="0" customWidth="1"/>
    <col min="20" max="20" width="0.85546875" style="0" customWidth="1"/>
    <col min="21" max="21" width="2.57421875" style="0" customWidth="1"/>
    <col min="22" max="22" width="0.85546875" style="0" customWidth="1"/>
    <col min="23" max="23" width="5.421875" style="0" customWidth="1"/>
    <col min="24" max="24" width="0.85546875" style="0" customWidth="1"/>
    <col min="26" max="26" width="0.85546875" style="0" customWidth="1"/>
  </cols>
  <sheetData>
    <row r="1" ht="12.75">
      <c r="H1" s="7"/>
    </row>
    <row r="2" spans="1:2" ht="15.75">
      <c r="A2" s="1" t="s">
        <v>30</v>
      </c>
      <c r="B2" s="1"/>
    </row>
    <row r="3" spans="1:2" ht="15.75">
      <c r="A3" s="1" t="s">
        <v>31</v>
      </c>
      <c r="B3" s="1"/>
    </row>
    <row r="4" spans="1:2" ht="15.75">
      <c r="A4" s="1" t="s">
        <v>120</v>
      </c>
      <c r="B4" s="1"/>
    </row>
    <row r="5" spans="1:2" ht="15.75">
      <c r="A5" s="1"/>
      <c r="B5" s="1"/>
    </row>
    <row r="6" spans="5:9" ht="12.75">
      <c r="E6" s="148" t="s">
        <v>72</v>
      </c>
      <c r="G6" s="147">
        <v>3133</v>
      </c>
      <c r="I6" s="59" t="s">
        <v>97</v>
      </c>
    </row>
    <row r="7" spans="1:9" ht="15.75">
      <c r="A7" s="6" t="s">
        <v>34</v>
      </c>
      <c r="B7" s="6"/>
      <c r="E7" s="151" t="s">
        <v>0</v>
      </c>
      <c r="G7" s="151">
        <v>3133</v>
      </c>
      <c r="H7" s="41"/>
      <c r="I7" s="173" t="s">
        <v>97</v>
      </c>
    </row>
    <row r="8" spans="1:24" ht="12.75">
      <c r="A8" s="41" t="s">
        <v>29</v>
      </c>
      <c r="B8" s="41"/>
      <c r="C8" s="146" t="s">
        <v>71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5:24" ht="12.75">
      <c r="E9" s="16"/>
      <c r="F9" s="16"/>
      <c r="G9" s="13" t="s">
        <v>28</v>
      </c>
      <c r="H9" s="42"/>
      <c r="I9" s="13" t="s">
        <v>14</v>
      </c>
      <c r="J9" s="13"/>
      <c r="K9" s="13" t="s">
        <v>17</v>
      </c>
      <c r="L9" s="42"/>
      <c r="M9" s="13" t="s">
        <v>18</v>
      </c>
      <c r="N9" s="13"/>
      <c r="O9" s="13"/>
      <c r="P9" s="13"/>
      <c r="Q9" s="13" t="s">
        <v>15</v>
      </c>
      <c r="R9" s="13"/>
      <c r="S9" s="42"/>
      <c r="T9" s="42"/>
      <c r="U9" s="42"/>
      <c r="V9" s="42"/>
      <c r="W9" s="43"/>
      <c r="X9" s="16"/>
    </row>
    <row r="10" spans="1:24" ht="14.25" customHeight="1">
      <c r="A10" s="13" t="s">
        <v>1</v>
      </c>
      <c r="C10" s="62" t="s">
        <v>21</v>
      </c>
      <c r="D10" s="11" t="s">
        <v>9</v>
      </c>
      <c r="E10" s="63" t="s">
        <v>20</v>
      </c>
      <c r="F10" s="16"/>
      <c r="G10" s="21" t="s">
        <v>22</v>
      </c>
      <c r="H10" s="45"/>
      <c r="I10" s="21" t="s">
        <v>23</v>
      </c>
      <c r="J10" s="12"/>
      <c r="K10" s="21" t="s">
        <v>23</v>
      </c>
      <c r="L10" s="45"/>
      <c r="M10" s="21" t="s">
        <v>24</v>
      </c>
      <c r="N10" s="12"/>
      <c r="O10" s="12"/>
      <c r="P10" s="12"/>
      <c r="Q10" s="21" t="s">
        <v>22</v>
      </c>
      <c r="R10" s="12"/>
      <c r="S10" s="44"/>
      <c r="T10" s="45"/>
      <c r="U10" s="45"/>
      <c r="V10" s="45"/>
      <c r="W10" s="44"/>
      <c r="X10" s="16"/>
    </row>
    <row r="11" spans="1:24" ht="12.75">
      <c r="A11" s="13" t="s">
        <v>2</v>
      </c>
      <c r="B11" s="58" t="s">
        <v>37</v>
      </c>
      <c r="E11" s="10"/>
      <c r="F11" s="46"/>
      <c r="G11" s="14" t="s">
        <v>11</v>
      </c>
      <c r="H11" s="48"/>
      <c r="I11" s="14"/>
      <c r="J11" s="7"/>
      <c r="K11" s="14" t="s">
        <v>11</v>
      </c>
      <c r="L11" s="48"/>
      <c r="M11" s="14"/>
      <c r="N11" s="7"/>
      <c r="O11" s="7"/>
      <c r="P11" s="7"/>
      <c r="Q11" s="14"/>
      <c r="R11" s="7"/>
      <c r="S11" s="47"/>
      <c r="T11" s="48"/>
      <c r="U11" s="48"/>
      <c r="V11" s="48"/>
      <c r="W11" s="47"/>
      <c r="X11" s="16"/>
    </row>
    <row r="12" spans="2:24" ht="14.25" customHeight="1">
      <c r="B12" s="58" t="s">
        <v>2</v>
      </c>
      <c r="C12" s="11" t="s">
        <v>10</v>
      </c>
      <c r="E12" s="61" t="s">
        <v>19</v>
      </c>
      <c r="F12" s="48"/>
      <c r="G12" s="14" t="s">
        <v>12</v>
      </c>
      <c r="H12" s="48"/>
      <c r="I12" s="14" t="s">
        <v>12</v>
      </c>
      <c r="J12" s="7"/>
      <c r="K12" s="14" t="s">
        <v>12</v>
      </c>
      <c r="L12" s="48"/>
      <c r="M12" s="14" t="s">
        <v>12</v>
      </c>
      <c r="N12" s="7"/>
      <c r="O12" s="7"/>
      <c r="P12" s="7"/>
      <c r="Q12" s="14" t="s">
        <v>12</v>
      </c>
      <c r="R12" s="7"/>
      <c r="S12" s="47"/>
      <c r="T12" s="48"/>
      <c r="U12" s="48"/>
      <c r="V12" s="48"/>
      <c r="W12" s="47"/>
      <c r="X12" s="16"/>
    </row>
    <row r="13" spans="1:24" ht="12.75">
      <c r="A13" s="8"/>
      <c r="B13" s="8"/>
      <c r="C13" s="8"/>
      <c r="D13" s="8"/>
      <c r="E13" s="8"/>
      <c r="F13" s="49"/>
      <c r="G13" s="15" t="s">
        <v>13</v>
      </c>
      <c r="H13" s="50"/>
      <c r="I13" s="15" t="s">
        <v>13</v>
      </c>
      <c r="J13" s="9"/>
      <c r="K13" s="15" t="s">
        <v>13</v>
      </c>
      <c r="L13" s="50"/>
      <c r="M13" s="15" t="s">
        <v>13</v>
      </c>
      <c r="N13" s="9"/>
      <c r="O13" s="9"/>
      <c r="P13" s="9"/>
      <c r="Q13" s="15" t="s">
        <v>13</v>
      </c>
      <c r="R13" s="9"/>
      <c r="S13" s="22"/>
      <c r="T13" s="55"/>
      <c r="U13" s="55"/>
      <c r="V13" s="55"/>
      <c r="W13" s="22"/>
      <c r="X13" s="16"/>
    </row>
    <row r="14" spans="1:24" ht="14.25" customHeight="1">
      <c r="A14" s="31"/>
      <c r="B14" s="73"/>
      <c r="C14" s="181">
        <v>806</v>
      </c>
      <c r="D14" s="130" t="s">
        <v>253</v>
      </c>
      <c r="E14" s="142" t="s">
        <v>517</v>
      </c>
      <c r="F14" s="51">
        <v>1</v>
      </c>
      <c r="G14" s="82">
        <v>21.8</v>
      </c>
      <c r="H14" s="34">
        <f>G16</f>
        <v>206</v>
      </c>
      <c r="I14" s="83">
        <v>9.69</v>
      </c>
      <c r="J14" s="34">
        <f>G17+I16</f>
        <v>673</v>
      </c>
      <c r="K14" s="83">
        <v>5.95</v>
      </c>
      <c r="L14" s="34">
        <f>I17+K16</f>
        <v>1249</v>
      </c>
      <c r="M14" s="83">
        <v>1.7</v>
      </c>
      <c r="N14" s="27">
        <f>K17+M16</f>
        <v>1793</v>
      </c>
      <c r="O14" s="84">
        <v>2</v>
      </c>
      <c r="P14" s="7" t="s">
        <v>25</v>
      </c>
      <c r="Q14" s="184" t="s">
        <v>512</v>
      </c>
      <c r="R14" s="28">
        <f>M17+Q16</f>
        <v>2133</v>
      </c>
      <c r="S14" s="56"/>
      <c r="T14" s="52"/>
      <c r="U14" s="22"/>
      <c r="V14" s="55"/>
      <c r="W14" s="57"/>
      <c r="X14" s="52"/>
    </row>
    <row r="15" spans="1:24" ht="12.75" customHeight="1">
      <c r="A15" s="32">
        <v>1</v>
      </c>
      <c r="B15" s="159"/>
      <c r="E15" s="10"/>
      <c r="F15" s="46">
        <v>2</v>
      </c>
      <c r="G15" s="85"/>
      <c r="H15" s="35">
        <f>G16</f>
        <v>206</v>
      </c>
      <c r="I15" s="14"/>
      <c r="J15" s="35">
        <f>G17+I16</f>
        <v>673</v>
      </c>
      <c r="K15" s="85"/>
      <c r="L15" s="35">
        <f>I17+K16</f>
        <v>1249</v>
      </c>
      <c r="M15" s="14"/>
      <c r="N15" s="19">
        <f>K17+M16</f>
        <v>1793</v>
      </c>
      <c r="O15" s="14"/>
      <c r="P15" s="14"/>
      <c r="Q15" s="14"/>
      <c r="R15" s="29">
        <f>M17+Q16</f>
        <v>2133</v>
      </c>
      <c r="S15" s="22"/>
      <c r="T15" s="52"/>
      <c r="U15" s="22"/>
      <c r="V15" s="22"/>
      <c r="W15" s="22"/>
      <c r="X15" s="52"/>
    </row>
    <row r="16" spans="1:24" ht="14.25" customHeight="1">
      <c r="A16" s="32"/>
      <c r="B16" s="175">
        <v>1</v>
      </c>
      <c r="C16" s="11" t="s">
        <v>101</v>
      </c>
      <c r="D16" s="11"/>
      <c r="E16" s="25">
        <f>R17</f>
        <v>2133</v>
      </c>
      <c r="F16" s="53">
        <v>3</v>
      </c>
      <c r="G16" s="17">
        <f>ROUNDDOWN(5.74352*(28.26-(G14))^1.92,0)</f>
        <v>206</v>
      </c>
      <c r="H16" s="35">
        <f>G16</f>
        <v>206</v>
      </c>
      <c r="I16" s="17">
        <f>ROUNDDOWN(51.39*(I14-1.5)^1.05,0)</f>
        <v>467</v>
      </c>
      <c r="J16" s="35">
        <f>G17+I16</f>
        <v>673</v>
      </c>
      <c r="K16" s="17">
        <f>ROUNDDOWN(0.14354*(100*K14-220)^1.4,0)</f>
        <v>576</v>
      </c>
      <c r="L16" s="35">
        <f>I17+K16</f>
        <v>1249</v>
      </c>
      <c r="M16" s="17">
        <f>ROUNDDOWN(0.8465*(100*M14-75)^1.42,0)</f>
        <v>544</v>
      </c>
      <c r="N16" s="19">
        <f>K17+M16</f>
        <v>1793</v>
      </c>
      <c r="O16" s="14"/>
      <c r="P16" s="14"/>
      <c r="Q16" s="23">
        <f>IF(O14+Q14=0,0,TRUNC(0.232*((200-(O14*60+Q14))^1.85)))</f>
        <v>340</v>
      </c>
      <c r="R16" s="29">
        <f>M17+Q16</f>
        <v>2133</v>
      </c>
      <c r="S16" s="17"/>
      <c r="T16" s="52"/>
      <c r="U16" s="22"/>
      <c r="V16" s="22"/>
      <c r="W16" s="39"/>
      <c r="X16" s="52"/>
    </row>
    <row r="17" spans="1:24" ht="14.25" customHeight="1">
      <c r="A17" s="33"/>
      <c r="B17" s="76"/>
      <c r="C17" s="8"/>
      <c r="D17" s="8"/>
      <c r="E17" s="8"/>
      <c r="F17" s="54">
        <v>4</v>
      </c>
      <c r="G17" s="40">
        <f>G16</f>
        <v>206</v>
      </c>
      <c r="H17" s="36">
        <f>G16</f>
        <v>206</v>
      </c>
      <c r="I17" s="15">
        <f>G17+I16</f>
        <v>673</v>
      </c>
      <c r="J17" s="35">
        <f>G17+I16</f>
        <v>673</v>
      </c>
      <c r="K17" s="15">
        <f>I17+K16</f>
        <v>1249</v>
      </c>
      <c r="L17" s="35">
        <f>I17+K16</f>
        <v>1249</v>
      </c>
      <c r="M17" s="15">
        <f>K17+M16</f>
        <v>1793</v>
      </c>
      <c r="N17" s="19">
        <f>K17+M16</f>
        <v>1793</v>
      </c>
      <c r="O17" s="15"/>
      <c r="P17" s="15"/>
      <c r="Q17" s="24">
        <f>M17+Q16</f>
        <v>2133</v>
      </c>
      <c r="R17" s="29">
        <f>M17+Q16</f>
        <v>2133</v>
      </c>
      <c r="S17" s="22"/>
      <c r="T17" s="52"/>
      <c r="U17" s="22"/>
      <c r="V17" s="22"/>
      <c r="W17" s="39"/>
      <c r="X17" s="52"/>
    </row>
    <row r="18" spans="1:24" ht="14.25" customHeight="1">
      <c r="A18" s="31"/>
      <c r="B18" s="73"/>
      <c r="C18" s="181">
        <v>807</v>
      </c>
      <c r="D18" s="130" t="s">
        <v>254</v>
      </c>
      <c r="E18" s="142" t="s">
        <v>518</v>
      </c>
      <c r="F18" s="51">
        <v>5</v>
      </c>
      <c r="G18" s="82">
        <v>19.8</v>
      </c>
      <c r="H18" s="34">
        <f>G20</f>
        <v>346</v>
      </c>
      <c r="I18" s="83">
        <v>7.77</v>
      </c>
      <c r="J18" s="34">
        <f>G21+I20</f>
        <v>699</v>
      </c>
      <c r="K18" s="83">
        <v>5.7</v>
      </c>
      <c r="L18" s="34">
        <f>I21+K20</f>
        <v>1222</v>
      </c>
      <c r="M18" s="83">
        <v>1.91</v>
      </c>
      <c r="N18" s="27">
        <f>K21+M20</f>
        <v>1945</v>
      </c>
      <c r="O18" s="84">
        <v>3</v>
      </c>
      <c r="P18" s="7" t="s">
        <v>25</v>
      </c>
      <c r="Q18" s="184" t="s">
        <v>516</v>
      </c>
      <c r="R18" s="28">
        <f>M21+Q20</f>
        <v>1987</v>
      </c>
      <c r="S18" s="56"/>
      <c r="T18" s="52"/>
      <c r="U18" s="22"/>
      <c r="V18" s="55"/>
      <c r="W18" s="57"/>
      <c r="X18" s="52"/>
    </row>
    <row r="19" spans="1:24" ht="12.75" customHeight="1">
      <c r="A19" s="32">
        <v>2</v>
      </c>
      <c r="B19" s="74"/>
      <c r="E19" s="10"/>
      <c r="F19" s="46">
        <v>6</v>
      </c>
      <c r="G19" s="85"/>
      <c r="H19" s="35">
        <f>G20</f>
        <v>346</v>
      </c>
      <c r="I19" s="14"/>
      <c r="J19" s="35">
        <f>G21+I20</f>
        <v>699</v>
      </c>
      <c r="K19" s="85"/>
      <c r="L19" s="35">
        <f>I21+K20</f>
        <v>1222</v>
      </c>
      <c r="M19" s="14"/>
      <c r="N19" s="19">
        <f>K21+M20</f>
        <v>1945</v>
      </c>
      <c r="O19" s="14"/>
      <c r="P19" s="14"/>
      <c r="Q19" s="14"/>
      <c r="R19" s="29">
        <f>M21+Q20</f>
        <v>1987</v>
      </c>
      <c r="S19" s="22"/>
      <c r="T19" s="52"/>
      <c r="U19" s="22"/>
      <c r="V19" s="22"/>
      <c r="W19" s="22"/>
      <c r="X19" s="52"/>
    </row>
    <row r="20" spans="1:24" ht="14.25" customHeight="1">
      <c r="A20" s="32"/>
      <c r="B20" s="77">
        <v>2</v>
      </c>
      <c r="C20" s="11" t="s">
        <v>101</v>
      </c>
      <c r="D20" s="11"/>
      <c r="E20" s="25">
        <f>R21</f>
        <v>1987</v>
      </c>
      <c r="F20" s="53">
        <v>7</v>
      </c>
      <c r="G20" s="17">
        <f>ROUNDDOWN(5.74352*(28.26-(G18))^1.92,0)</f>
        <v>346</v>
      </c>
      <c r="H20" s="35">
        <f>G20</f>
        <v>346</v>
      </c>
      <c r="I20" s="17">
        <f>ROUNDDOWN(51.39*(I18-1.5)^1.05,0)</f>
        <v>353</v>
      </c>
      <c r="J20" s="35">
        <f>G21+I20</f>
        <v>699</v>
      </c>
      <c r="K20" s="17">
        <f>ROUNDDOWN(0.14354*(100*K18-220)^1.4,0)</f>
        <v>523</v>
      </c>
      <c r="L20" s="35">
        <f>I21+K20</f>
        <v>1222</v>
      </c>
      <c r="M20" s="17">
        <f>ROUNDDOWN(0.8465*(100*M18-75)^1.42,0)</f>
        <v>723</v>
      </c>
      <c r="N20" s="19">
        <f>K21+M20</f>
        <v>1945</v>
      </c>
      <c r="O20" s="14"/>
      <c r="P20" s="14"/>
      <c r="Q20" s="23">
        <f>IF(O18+Q18=0,0,TRUNC(0.232*((200-(O18*60+Q18))^1.85)))</f>
        <v>42</v>
      </c>
      <c r="R20" s="29">
        <f>M21+Q20</f>
        <v>1987</v>
      </c>
      <c r="S20" s="17"/>
      <c r="T20" s="52"/>
      <c r="U20" s="22"/>
      <c r="V20" s="22"/>
      <c r="W20" s="39"/>
      <c r="X20" s="52"/>
    </row>
    <row r="21" spans="1:24" ht="14.25" customHeight="1">
      <c r="A21" s="33"/>
      <c r="B21" s="76"/>
      <c r="C21" s="8"/>
      <c r="D21" s="8"/>
      <c r="E21" s="8"/>
      <c r="F21" s="54">
        <v>8</v>
      </c>
      <c r="G21" s="40">
        <f>G20</f>
        <v>346</v>
      </c>
      <c r="H21" s="36">
        <f>G20</f>
        <v>346</v>
      </c>
      <c r="I21" s="15">
        <f>G21+I20</f>
        <v>699</v>
      </c>
      <c r="J21" s="35">
        <f>G21+I20</f>
        <v>699</v>
      </c>
      <c r="K21" s="15">
        <f>I21+K20</f>
        <v>1222</v>
      </c>
      <c r="L21" s="35">
        <f>I21+K20</f>
        <v>1222</v>
      </c>
      <c r="M21" s="15">
        <f>K21+M20</f>
        <v>1945</v>
      </c>
      <c r="N21" s="19">
        <f>K21+M20</f>
        <v>1945</v>
      </c>
      <c r="O21" s="15"/>
      <c r="P21" s="15"/>
      <c r="Q21" s="24">
        <f>M21+Q20</f>
        <v>1987</v>
      </c>
      <c r="R21" s="29">
        <f>M21+Q20</f>
        <v>1987</v>
      </c>
      <c r="S21" s="22"/>
      <c r="T21" s="52"/>
      <c r="U21" s="22"/>
      <c r="V21" s="22"/>
      <c r="W21" s="39"/>
      <c r="X21" s="52"/>
    </row>
    <row r="22" spans="1:24" ht="14.25" customHeight="1">
      <c r="A22" s="31"/>
      <c r="B22" s="73"/>
      <c r="C22" s="89"/>
      <c r="D22" s="11"/>
      <c r="E22" s="72"/>
      <c r="F22" s="51"/>
      <c r="G22" s="82"/>
      <c r="H22" s="34"/>
      <c r="I22" s="83"/>
      <c r="J22" s="34"/>
      <c r="K22" s="83"/>
      <c r="L22" s="34"/>
      <c r="M22" s="83"/>
      <c r="N22" s="27"/>
      <c r="O22" s="84"/>
      <c r="P22" s="7"/>
      <c r="Q22" s="86"/>
      <c r="R22" s="28"/>
      <c r="S22" s="56"/>
      <c r="T22" s="52"/>
      <c r="U22" s="22"/>
      <c r="V22" s="55"/>
      <c r="W22" s="57"/>
      <c r="X22" s="52"/>
    </row>
    <row r="23" spans="1:24" ht="12.75" customHeight="1">
      <c r="A23" s="32"/>
      <c r="B23" s="74"/>
      <c r="E23" s="10"/>
      <c r="F23" s="46"/>
      <c r="G23" s="85"/>
      <c r="H23" s="35"/>
      <c r="I23" s="14"/>
      <c r="J23" s="35"/>
      <c r="K23" s="85"/>
      <c r="L23" s="35"/>
      <c r="M23" s="14"/>
      <c r="N23" s="19"/>
      <c r="O23" s="14"/>
      <c r="P23" s="14"/>
      <c r="Q23" s="14"/>
      <c r="R23" s="29"/>
      <c r="S23" s="22"/>
      <c r="T23" s="52"/>
      <c r="U23" s="22"/>
      <c r="V23" s="22"/>
      <c r="W23" s="22"/>
      <c r="X23" s="52"/>
    </row>
    <row r="24" spans="1:24" ht="14.25" customHeight="1">
      <c r="A24" s="32"/>
      <c r="B24" s="78"/>
      <c r="C24" s="11"/>
      <c r="D24" s="11"/>
      <c r="E24" s="25"/>
      <c r="F24" s="53"/>
      <c r="G24" s="17"/>
      <c r="H24" s="35"/>
      <c r="I24" s="17"/>
      <c r="J24" s="35"/>
      <c r="K24" s="17"/>
      <c r="L24" s="35"/>
      <c r="M24" s="17"/>
      <c r="N24" s="19"/>
      <c r="O24" s="14"/>
      <c r="P24" s="14"/>
      <c r="Q24" s="23"/>
      <c r="R24" s="29"/>
      <c r="S24" s="17"/>
      <c r="T24" s="52"/>
      <c r="U24" s="22"/>
      <c r="V24" s="22"/>
      <c r="W24" s="39"/>
      <c r="X24" s="52"/>
    </row>
    <row r="25" spans="1:24" ht="14.25" customHeight="1">
      <c r="A25" s="97"/>
      <c r="B25" s="73"/>
      <c r="C25" s="20"/>
      <c r="D25" s="20"/>
      <c r="E25" s="20"/>
      <c r="F25" s="126"/>
      <c r="G25" s="22"/>
      <c r="H25" s="35"/>
      <c r="I25" s="18"/>
      <c r="J25" s="35"/>
      <c r="K25" s="18"/>
      <c r="L25" s="35"/>
      <c r="M25" s="18"/>
      <c r="N25" s="19"/>
      <c r="O25" s="18"/>
      <c r="P25" s="18"/>
      <c r="Q25" s="110"/>
      <c r="R25" s="29"/>
      <c r="S25" s="22"/>
      <c r="T25" s="52"/>
      <c r="U25" s="22"/>
      <c r="V25" s="22"/>
      <c r="W25" s="39"/>
      <c r="X25" s="52"/>
    </row>
    <row r="26" spans="1:24" ht="14.25" customHeight="1">
      <c r="A26" s="97"/>
      <c r="B26" s="73"/>
      <c r="C26" s="98"/>
      <c r="D26" s="95"/>
      <c r="E26" s="99"/>
      <c r="F26" s="127"/>
      <c r="G26" s="102"/>
      <c r="H26" s="35"/>
      <c r="I26" s="101"/>
      <c r="J26" s="35"/>
      <c r="K26" s="101"/>
      <c r="L26" s="35"/>
      <c r="M26" s="101"/>
      <c r="N26" s="19"/>
      <c r="O26" s="122"/>
      <c r="P26" s="19"/>
      <c r="Q26" s="104"/>
      <c r="R26" s="29"/>
      <c r="S26" s="56"/>
      <c r="T26" s="52"/>
      <c r="U26" s="22"/>
      <c r="V26" s="55"/>
      <c r="W26" s="57"/>
      <c r="X26" s="52"/>
    </row>
    <row r="27" spans="1:24" ht="12.75" customHeight="1">
      <c r="A27" s="97"/>
      <c r="B27" s="73"/>
      <c r="C27" s="20"/>
      <c r="D27" s="20"/>
      <c r="E27" s="105"/>
      <c r="F27" s="126"/>
      <c r="G27" s="106"/>
      <c r="H27" s="35"/>
      <c r="I27" s="18"/>
      <c r="J27" s="35"/>
      <c r="K27" s="106"/>
      <c r="L27" s="35"/>
      <c r="M27" s="18"/>
      <c r="N27" s="19"/>
      <c r="O27" s="18"/>
      <c r="P27" s="18"/>
      <c r="Q27" s="18"/>
      <c r="R27" s="29"/>
      <c r="S27" s="22"/>
      <c r="T27" s="52"/>
      <c r="U27" s="22"/>
      <c r="V27" s="22"/>
      <c r="W27" s="22"/>
      <c r="X27" s="52"/>
    </row>
    <row r="28" spans="1:24" ht="14.25" customHeight="1">
      <c r="A28" s="97"/>
      <c r="B28" s="81"/>
      <c r="C28" s="95"/>
      <c r="D28" s="95"/>
      <c r="E28" s="108"/>
      <c r="F28" s="128"/>
      <c r="G28" s="17"/>
      <c r="H28" s="35"/>
      <c r="I28" s="17"/>
      <c r="J28" s="35"/>
      <c r="K28" s="17"/>
      <c r="L28" s="35"/>
      <c r="M28" s="17"/>
      <c r="N28" s="19"/>
      <c r="O28" s="18"/>
      <c r="P28" s="18"/>
      <c r="Q28" s="23"/>
      <c r="R28" s="29"/>
      <c r="S28" s="17"/>
      <c r="T28" s="52"/>
      <c r="U28" s="22"/>
      <c r="V28" s="22"/>
      <c r="W28" s="39"/>
      <c r="X28" s="52"/>
    </row>
    <row r="29" spans="1:24" ht="14.25" customHeight="1">
      <c r="A29" s="97"/>
      <c r="B29" s="73"/>
      <c r="C29" s="20"/>
      <c r="D29" s="20"/>
      <c r="E29" s="20"/>
      <c r="F29" s="126"/>
      <c r="G29" s="22"/>
      <c r="H29" s="35"/>
      <c r="I29" s="18"/>
      <c r="J29" s="35"/>
      <c r="K29" s="18"/>
      <c r="L29" s="35"/>
      <c r="M29" s="18"/>
      <c r="N29" s="19"/>
      <c r="O29" s="18"/>
      <c r="P29" s="18"/>
      <c r="Q29" s="110"/>
      <c r="R29" s="29"/>
      <c r="S29" s="22"/>
      <c r="T29" s="52"/>
      <c r="U29" s="22"/>
      <c r="V29" s="22"/>
      <c r="W29" s="39"/>
      <c r="X29" s="52"/>
    </row>
    <row r="30" spans="1:24" ht="14.25" customHeight="1">
      <c r="A30" s="97"/>
      <c r="B30" s="73"/>
      <c r="C30" s="98"/>
      <c r="D30" s="95"/>
      <c r="E30" s="99"/>
      <c r="F30" s="127"/>
      <c r="G30" s="102"/>
      <c r="H30" s="35"/>
      <c r="I30" s="101"/>
      <c r="J30" s="35"/>
      <c r="K30" s="101"/>
      <c r="L30" s="35"/>
      <c r="M30" s="101"/>
      <c r="N30" s="19"/>
      <c r="O30" s="122"/>
      <c r="P30" s="19"/>
      <c r="Q30" s="104"/>
      <c r="R30" s="29"/>
      <c r="S30" s="56"/>
      <c r="T30" s="52"/>
      <c r="U30" s="22"/>
      <c r="V30" s="55"/>
      <c r="W30" s="57"/>
      <c r="X30" s="52"/>
    </row>
    <row r="31" spans="1:24" ht="12.75" customHeight="1">
      <c r="A31" s="97"/>
      <c r="B31" s="73"/>
      <c r="C31" s="20"/>
      <c r="D31" s="20"/>
      <c r="E31" s="105"/>
      <c r="F31" s="126"/>
      <c r="G31" s="106"/>
      <c r="H31" s="35"/>
      <c r="I31" s="18"/>
      <c r="J31" s="35"/>
      <c r="K31" s="106"/>
      <c r="L31" s="35"/>
      <c r="M31" s="18"/>
      <c r="N31" s="19"/>
      <c r="O31" s="18"/>
      <c r="P31" s="18"/>
      <c r="Q31" s="18"/>
      <c r="R31" s="29"/>
      <c r="S31" s="22"/>
      <c r="T31" s="52"/>
      <c r="U31" s="22"/>
      <c r="V31" s="22"/>
      <c r="W31" s="22"/>
      <c r="X31" s="52"/>
    </row>
    <row r="32" spans="1:24" ht="14.25" customHeight="1">
      <c r="A32" s="97"/>
      <c r="B32" s="81"/>
      <c r="C32" s="95"/>
      <c r="D32" s="95"/>
      <c r="E32" s="108"/>
      <c r="F32" s="128"/>
      <c r="G32" s="17"/>
      <c r="H32" s="35"/>
      <c r="I32" s="17"/>
      <c r="J32" s="35"/>
      <c r="K32" s="17"/>
      <c r="L32" s="35"/>
      <c r="M32" s="17"/>
      <c r="N32" s="19"/>
      <c r="O32" s="18"/>
      <c r="P32" s="18"/>
      <c r="Q32" s="23"/>
      <c r="R32" s="29"/>
      <c r="S32" s="17"/>
      <c r="T32" s="52"/>
      <c r="U32" s="22"/>
      <c r="V32" s="22"/>
      <c r="W32" s="39"/>
      <c r="X32" s="52"/>
    </row>
    <row r="33" spans="1:24" ht="14.25" customHeight="1">
      <c r="A33" s="97"/>
      <c r="B33" s="73"/>
      <c r="C33" s="20"/>
      <c r="D33" s="20"/>
      <c r="E33" s="20"/>
      <c r="F33" s="126"/>
      <c r="G33" s="22"/>
      <c r="H33" s="35"/>
      <c r="I33" s="18"/>
      <c r="J33" s="35"/>
      <c r="K33" s="18"/>
      <c r="L33" s="35"/>
      <c r="M33" s="18"/>
      <c r="N33" s="19"/>
      <c r="O33" s="18"/>
      <c r="P33" s="18"/>
      <c r="Q33" s="110"/>
      <c r="R33" s="29"/>
      <c r="S33" s="22"/>
      <c r="T33" s="52"/>
      <c r="U33" s="22"/>
      <c r="V33" s="22"/>
      <c r="W33" s="39"/>
      <c r="X33" s="52"/>
    </row>
    <row r="34" spans="1:24" ht="14.25" customHeight="1">
      <c r="A34" s="97"/>
      <c r="B34" s="73"/>
      <c r="C34" s="98"/>
      <c r="D34" s="95"/>
      <c r="E34" s="99"/>
      <c r="F34" s="127"/>
      <c r="G34" s="102"/>
      <c r="H34" s="35"/>
      <c r="I34" s="101"/>
      <c r="J34" s="35"/>
      <c r="K34" s="101"/>
      <c r="L34" s="35"/>
      <c r="M34" s="101"/>
      <c r="N34" s="19"/>
      <c r="O34" s="122"/>
      <c r="P34" s="19"/>
      <c r="Q34" s="104"/>
      <c r="R34" s="29"/>
      <c r="S34" s="56"/>
      <c r="T34" s="52"/>
      <c r="U34" s="22"/>
      <c r="V34" s="55"/>
      <c r="W34" s="57"/>
      <c r="X34" s="52"/>
    </row>
    <row r="35" spans="1:24" ht="12.75" customHeight="1">
      <c r="A35" s="97"/>
      <c r="B35" s="73"/>
      <c r="C35" s="20"/>
      <c r="D35" s="20"/>
      <c r="E35" s="105"/>
      <c r="F35" s="126"/>
      <c r="G35" s="106"/>
      <c r="H35" s="35"/>
      <c r="I35" s="18"/>
      <c r="J35" s="35"/>
      <c r="K35" s="106"/>
      <c r="L35" s="35"/>
      <c r="M35" s="18"/>
      <c r="N35" s="19"/>
      <c r="O35" s="18"/>
      <c r="P35" s="18"/>
      <c r="Q35" s="18"/>
      <c r="R35" s="29"/>
      <c r="S35" s="22"/>
      <c r="T35" s="52"/>
      <c r="U35" s="22"/>
      <c r="V35" s="22"/>
      <c r="W35" s="22"/>
      <c r="X35" s="52"/>
    </row>
    <row r="36" spans="1:24" ht="14.25" customHeight="1">
      <c r="A36" s="97"/>
      <c r="B36" s="81"/>
      <c r="C36" s="95"/>
      <c r="D36" s="95"/>
      <c r="E36" s="108"/>
      <c r="F36" s="128"/>
      <c r="G36" s="17"/>
      <c r="H36" s="35"/>
      <c r="I36" s="17"/>
      <c r="J36" s="35"/>
      <c r="K36" s="17"/>
      <c r="L36" s="35"/>
      <c r="M36" s="17"/>
      <c r="N36" s="19"/>
      <c r="O36" s="18"/>
      <c r="P36" s="18"/>
      <c r="Q36" s="23"/>
      <c r="R36" s="29"/>
      <c r="S36" s="17"/>
      <c r="T36" s="52"/>
      <c r="U36" s="22"/>
      <c r="V36" s="22"/>
      <c r="W36" s="39"/>
      <c r="X36" s="52"/>
    </row>
    <row r="37" spans="1:24" ht="14.25" customHeight="1">
      <c r="A37" s="97"/>
      <c r="B37" s="81"/>
      <c r="C37" s="20"/>
      <c r="D37" s="20"/>
      <c r="E37" s="20"/>
      <c r="F37" s="126"/>
      <c r="G37" s="22"/>
      <c r="H37" s="35"/>
      <c r="I37" s="18"/>
      <c r="J37" s="35"/>
      <c r="K37" s="18"/>
      <c r="L37" s="35"/>
      <c r="M37" s="18"/>
      <c r="N37" s="19"/>
      <c r="O37" s="18"/>
      <c r="P37" s="18"/>
      <c r="Q37" s="110"/>
      <c r="R37" s="29"/>
      <c r="S37" s="22"/>
      <c r="T37" s="52"/>
      <c r="U37" s="22"/>
      <c r="V37" s="22"/>
      <c r="W37" s="39"/>
      <c r="X37" s="52"/>
    </row>
    <row r="38" spans="1:24" ht="14.25" customHeight="1">
      <c r="A38" s="97"/>
      <c r="B38" s="81"/>
      <c r="C38" s="98"/>
      <c r="D38" s="95"/>
      <c r="E38" s="99"/>
      <c r="F38" s="127"/>
      <c r="G38" s="102"/>
      <c r="H38" s="35"/>
      <c r="I38" s="101"/>
      <c r="J38" s="35"/>
      <c r="K38" s="101"/>
      <c r="L38" s="35"/>
      <c r="M38" s="101"/>
      <c r="N38" s="19"/>
      <c r="O38" s="122"/>
      <c r="P38" s="19"/>
      <c r="Q38" s="104"/>
      <c r="R38" s="29"/>
      <c r="S38" s="56"/>
      <c r="T38" s="52"/>
      <c r="U38" s="22"/>
      <c r="V38" s="55"/>
      <c r="W38" s="57"/>
      <c r="X38" s="52"/>
    </row>
    <row r="39" spans="1:24" ht="12.75" customHeight="1">
      <c r="A39" s="97"/>
      <c r="B39" s="81"/>
      <c r="C39" s="20"/>
      <c r="D39" s="20"/>
      <c r="E39" s="105"/>
      <c r="F39" s="126"/>
      <c r="G39" s="106"/>
      <c r="H39" s="35"/>
      <c r="I39" s="18"/>
      <c r="J39" s="35"/>
      <c r="K39" s="106"/>
      <c r="L39" s="35"/>
      <c r="M39" s="18"/>
      <c r="N39" s="19"/>
      <c r="O39" s="18"/>
      <c r="P39" s="18"/>
      <c r="Q39" s="18"/>
      <c r="R39" s="29"/>
      <c r="S39" s="22"/>
      <c r="T39" s="52"/>
      <c r="U39" s="22"/>
      <c r="V39" s="22"/>
      <c r="W39" s="22"/>
      <c r="X39" s="52"/>
    </row>
    <row r="40" spans="1:24" ht="14.25" customHeight="1">
      <c r="A40" s="97"/>
      <c r="B40" s="81"/>
      <c r="C40" s="95"/>
      <c r="D40" s="95"/>
      <c r="E40" s="108"/>
      <c r="F40" s="128"/>
      <c r="G40" s="17"/>
      <c r="H40" s="35"/>
      <c r="I40" s="17"/>
      <c r="J40" s="35"/>
      <c r="K40" s="17"/>
      <c r="L40" s="35"/>
      <c r="M40" s="17"/>
      <c r="N40" s="19"/>
      <c r="O40" s="18"/>
      <c r="P40" s="18"/>
      <c r="Q40" s="23"/>
      <c r="R40" s="29"/>
      <c r="S40" s="17"/>
      <c r="T40" s="52"/>
      <c r="U40" s="22"/>
      <c r="V40" s="22"/>
      <c r="W40" s="39"/>
      <c r="X40" s="52"/>
    </row>
    <row r="41" spans="1:24" ht="14.25" customHeight="1">
      <c r="A41" s="97"/>
      <c r="B41" s="73"/>
      <c r="C41" s="20"/>
      <c r="D41" s="20"/>
      <c r="E41" s="38"/>
      <c r="F41" s="126"/>
      <c r="G41" s="22"/>
      <c r="H41" s="35"/>
      <c r="I41" s="18"/>
      <c r="J41" s="35"/>
      <c r="K41" s="18"/>
      <c r="L41" s="35"/>
      <c r="M41" s="18"/>
      <c r="N41" s="19"/>
      <c r="O41" s="18"/>
      <c r="P41" s="18"/>
      <c r="Q41" s="110"/>
      <c r="R41" s="29"/>
      <c r="S41" s="22"/>
      <c r="T41" s="52"/>
      <c r="U41" s="22"/>
      <c r="V41" s="22"/>
      <c r="W41" s="39"/>
      <c r="X41" s="52"/>
    </row>
    <row r="42" spans="1:23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61" spans="1:19" ht="12.75">
      <c r="A61" s="20"/>
      <c r="B61" s="20"/>
      <c r="C61" s="20"/>
      <c r="D61" s="20"/>
      <c r="E61" s="20"/>
      <c r="F61" s="20"/>
      <c r="G61" s="20"/>
      <c r="H61" s="19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15.75">
      <c r="A62" s="114"/>
      <c r="B62" s="11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ht="15.75">
      <c r="A63" s="114"/>
      <c r="B63" s="114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ht="15.75">
      <c r="A64" s="114"/>
      <c r="B64" s="11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ht="15.75">
      <c r="A66" s="6"/>
      <c r="B66" s="6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24" ht="12.75">
      <c r="A67" s="115"/>
      <c r="B67" s="115"/>
      <c r="C67" s="20"/>
      <c r="D67" s="20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16"/>
      <c r="U67" s="16"/>
      <c r="V67" s="16"/>
      <c r="W67" s="16"/>
      <c r="X67" s="16"/>
    </row>
    <row r="68" spans="1:24" ht="12.75">
      <c r="A68" s="20"/>
      <c r="B68" s="20"/>
      <c r="C68" s="20"/>
      <c r="D68" s="20"/>
      <c r="E68" s="38"/>
      <c r="F68" s="38"/>
      <c r="G68" s="116"/>
      <c r="H68" s="123"/>
      <c r="I68" s="116"/>
      <c r="J68" s="116"/>
      <c r="K68" s="116"/>
      <c r="L68" s="123"/>
      <c r="M68" s="116"/>
      <c r="N68" s="116"/>
      <c r="O68" s="116"/>
      <c r="P68" s="116"/>
      <c r="Q68" s="116"/>
      <c r="R68" s="116"/>
      <c r="S68" s="123"/>
      <c r="T68" s="42"/>
      <c r="U68" s="42"/>
      <c r="V68" s="42"/>
      <c r="W68" s="43"/>
      <c r="X68" s="16"/>
    </row>
    <row r="69" spans="1:24" ht="14.25" customHeight="1">
      <c r="A69" s="116"/>
      <c r="B69" s="117"/>
      <c r="C69" s="118"/>
      <c r="D69" s="95"/>
      <c r="E69" s="129"/>
      <c r="F69" s="38"/>
      <c r="G69" s="120"/>
      <c r="H69" s="124"/>
      <c r="I69" s="120"/>
      <c r="J69" s="121"/>
      <c r="K69" s="120"/>
      <c r="L69" s="124"/>
      <c r="M69" s="120"/>
      <c r="N69" s="121"/>
      <c r="O69" s="121"/>
      <c r="P69" s="121"/>
      <c r="Q69" s="120"/>
      <c r="R69" s="121"/>
      <c r="S69" s="125"/>
      <c r="T69" s="45"/>
      <c r="U69" s="45"/>
      <c r="V69" s="45"/>
      <c r="W69" s="44"/>
      <c r="X69" s="16"/>
    </row>
    <row r="70" spans="1:24" ht="12.75">
      <c r="A70" s="116"/>
      <c r="B70" s="117"/>
      <c r="C70" s="20"/>
      <c r="D70" s="20"/>
      <c r="E70" s="105"/>
      <c r="F70" s="126"/>
      <c r="G70" s="18"/>
      <c r="H70" s="55"/>
      <c r="I70" s="18"/>
      <c r="J70" s="19"/>
      <c r="K70" s="18"/>
      <c r="L70" s="55"/>
      <c r="M70" s="18"/>
      <c r="N70" s="19"/>
      <c r="O70" s="19"/>
      <c r="P70" s="19"/>
      <c r="Q70" s="18"/>
      <c r="R70" s="19"/>
      <c r="S70" s="22"/>
      <c r="T70" s="48"/>
      <c r="U70" s="48"/>
      <c r="V70" s="48"/>
      <c r="W70" s="47"/>
      <c r="X70" s="16"/>
    </row>
    <row r="71" spans="1:24" ht="14.25" customHeight="1">
      <c r="A71" s="20"/>
      <c r="B71" s="20"/>
      <c r="C71" s="95"/>
      <c r="D71" s="20"/>
      <c r="E71" s="96"/>
      <c r="F71" s="55"/>
      <c r="G71" s="18"/>
      <c r="H71" s="55"/>
      <c r="I71" s="18"/>
      <c r="J71" s="19"/>
      <c r="K71" s="18"/>
      <c r="L71" s="55"/>
      <c r="M71" s="18"/>
      <c r="N71" s="19"/>
      <c r="O71" s="19"/>
      <c r="P71" s="19"/>
      <c r="Q71" s="18"/>
      <c r="R71" s="19"/>
      <c r="S71" s="22"/>
      <c r="T71" s="48"/>
      <c r="U71" s="48"/>
      <c r="V71" s="48"/>
      <c r="W71" s="47"/>
      <c r="X71" s="16"/>
    </row>
    <row r="72" spans="1:24" ht="12.75">
      <c r="A72" s="20"/>
      <c r="B72" s="20"/>
      <c r="C72" s="20"/>
      <c r="D72" s="20"/>
      <c r="E72" s="20"/>
      <c r="F72" s="38"/>
      <c r="G72" s="18"/>
      <c r="H72" s="55"/>
      <c r="I72" s="18"/>
      <c r="J72" s="19"/>
      <c r="K72" s="18"/>
      <c r="L72" s="55"/>
      <c r="M72" s="18"/>
      <c r="N72" s="19"/>
      <c r="O72" s="19"/>
      <c r="P72" s="19"/>
      <c r="Q72" s="18"/>
      <c r="R72" s="19"/>
      <c r="S72" s="22"/>
      <c r="T72" s="55"/>
      <c r="U72" s="55"/>
      <c r="V72" s="55"/>
      <c r="W72" s="22"/>
      <c r="X72" s="16"/>
    </row>
    <row r="73" spans="1:24" ht="14.25" customHeight="1">
      <c r="A73" s="97"/>
      <c r="B73" s="73"/>
      <c r="C73" s="98"/>
      <c r="D73" s="95"/>
      <c r="E73" s="99"/>
      <c r="F73" s="127"/>
      <c r="G73" s="102"/>
      <c r="H73" s="35"/>
      <c r="I73" s="101"/>
      <c r="J73" s="35"/>
      <c r="K73" s="101"/>
      <c r="L73" s="35"/>
      <c r="M73" s="101"/>
      <c r="N73" s="19"/>
      <c r="O73" s="122"/>
      <c r="P73" s="19"/>
      <c r="Q73" s="104"/>
      <c r="R73" s="29"/>
      <c r="S73" s="56"/>
      <c r="T73" s="52"/>
      <c r="U73" s="22"/>
      <c r="V73" s="55"/>
      <c r="W73" s="57"/>
      <c r="X73" s="52"/>
    </row>
    <row r="74" spans="1:24" ht="12.75" customHeight="1">
      <c r="A74" s="97"/>
      <c r="B74" s="73"/>
      <c r="C74" s="20"/>
      <c r="D74" s="20"/>
      <c r="E74" s="105"/>
      <c r="F74" s="126"/>
      <c r="G74" s="106"/>
      <c r="H74" s="35"/>
      <c r="I74" s="106"/>
      <c r="J74" s="35"/>
      <c r="K74" s="18"/>
      <c r="L74" s="35"/>
      <c r="M74" s="18"/>
      <c r="N74" s="19"/>
      <c r="O74" s="18"/>
      <c r="P74" s="18"/>
      <c r="Q74" s="18"/>
      <c r="R74" s="29"/>
      <c r="S74" s="22"/>
      <c r="T74" s="52"/>
      <c r="U74" s="22"/>
      <c r="V74" s="22"/>
      <c r="W74" s="22"/>
      <c r="X74" s="52"/>
    </row>
    <row r="75" spans="1:24" ht="14.25" customHeight="1">
      <c r="A75" s="97"/>
      <c r="B75" s="107"/>
      <c r="C75" s="95"/>
      <c r="D75" s="95"/>
      <c r="E75" s="108"/>
      <c r="F75" s="128"/>
      <c r="G75" s="17"/>
      <c r="H75" s="35"/>
      <c r="I75" s="17"/>
      <c r="J75" s="35"/>
      <c r="K75" s="17"/>
      <c r="L75" s="35"/>
      <c r="M75" s="17"/>
      <c r="N75" s="19"/>
      <c r="O75" s="18"/>
      <c r="P75" s="18"/>
      <c r="Q75" s="23"/>
      <c r="R75" s="29"/>
      <c r="S75" s="17"/>
      <c r="T75" s="52"/>
      <c r="U75" s="22"/>
      <c r="V75" s="22"/>
      <c r="W75" s="39"/>
      <c r="X75" s="52"/>
    </row>
    <row r="76" spans="1:24" ht="14.25" customHeight="1">
      <c r="A76" s="97"/>
      <c r="B76" s="73"/>
      <c r="C76" s="20"/>
      <c r="D76" s="20"/>
      <c r="E76" s="20"/>
      <c r="F76" s="126"/>
      <c r="G76" s="22"/>
      <c r="H76" s="35"/>
      <c r="I76" s="18"/>
      <c r="J76" s="35"/>
      <c r="K76" s="18"/>
      <c r="L76" s="35"/>
      <c r="M76" s="18"/>
      <c r="N76" s="19"/>
      <c r="O76" s="18"/>
      <c r="P76" s="18"/>
      <c r="Q76" s="110"/>
      <c r="R76" s="29"/>
      <c r="S76" s="22"/>
      <c r="T76" s="52"/>
      <c r="U76" s="22"/>
      <c r="V76" s="22"/>
      <c r="W76" s="39"/>
      <c r="X76" s="52"/>
    </row>
    <row r="77" spans="1:24" ht="14.25" customHeight="1">
      <c r="A77" s="97"/>
      <c r="B77" s="73"/>
      <c r="C77" s="98"/>
      <c r="D77" s="95"/>
      <c r="E77" s="99"/>
      <c r="F77" s="127"/>
      <c r="G77" s="102"/>
      <c r="H77" s="35"/>
      <c r="I77" s="101"/>
      <c r="J77" s="35"/>
      <c r="K77" s="101"/>
      <c r="L77" s="35"/>
      <c r="M77" s="101"/>
      <c r="N77" s="19"/>
      <c r="O77" s="122"/>
      <c r="P77" s="19"/>
      <c r="Q77" s="104"/>
      <c r="R77" s="29"/>
      <c r="S77" s="56"/>
      <c r="T77" s="52"/>
      <c r="U77" s="22"/>
      <c r="V77" s="55"/>
      <c r="W77" s="57"/>
      <c r="X77" s="52"/>
    </row>
    <row r="78" spans="1:24" ht="12.75" customHeight="1">
      <c r="A78" s="97"/>
      <c r="B78" s="73"/>
      <c r="C78" s="20"/>
      <c r="D78" s="20"/>
      <c r="E78" s="105"/>
      <c r="F78" s="126"/>
      <c r="G78" s="106"/>
      <c r="H78" s="35"/>
      <c r="I78" s="106"/>
      <c r="J78" s="35"/>
      <c r="K78" s="18"/>
      <c r="L78" s="35"/>
      <c r="M78" s="18"/>
      <c r="N78" s="19"/>
      <c r="O78" s="18"/>
      <c r="P78" s="18"/>
      <c r="Q78" s="18"/>
      <c r="R78" s="29"/>
      <c r="S78" s="22"/>
      <c r="T78" s="52"/>
      <c r="U78" s="22"/>
      <c r="V78" s="22"/>
      <c r="W78" s="22"/>
      <c r="X78" s="52"/>
    </row>
    <row r="79" spans="1:24" ht="14.25" customHeight="1">
      <c r="A79" s="97"/>
      <c r="B79" s="111"/>
      <c r="C79" s="95"/>
      <c r="D79" s="95"/>
      <c r="E79" s="108"/>
      <c r="F79" s="128"/>
      <c r="G79" s="17"/>
      <c r="H79" s="35"/>
      <c r="I79" s="17"/>
      <c r="J79" s="35"/>
      <c r="K79" s="17"/>
      <c r="L79" s="35"/>
      <c r="M79" s="17"/>
      <c r="N79" s="19"/>
      <c r="O79" s="18"/>
      <c r="P79" s="18"/>
      <c r="Q79" s="23"/>
      <c r="R79" s="29"/>
      <c r="S79" s="17"/>
      <c r="T79" s="52"/>
      <c r="U79" s="22"/>
      <c r="V79" s="22"/>
      <c r="W79" s="39"/>
      <c r="X79" s="52"/>
    </row>
    <row r="80" spans="1:24" ht="14.25" customHeight="1">
      <c r="A80" s="97"/>
      <c r="B80" s="73"/>
      <c r="C80" s="20"/>
      <c r="D80" s="20"/>
      <c r="E80" s="20"/>
      <c r="F80" s="126"/>
      <c r="G80" s="22"/>
      <c r="H80" s="35"/>
      <c r="I80" s="18"/>
      <c r="J80" s="35"/>
      <c r="K80" s="18"/>
      <c r="L80" s="35"/>
      <c r="M80" s="18"/>
      <c r="N80" s="19"/>
      <c r="O80" s="18"/>
      <c r="P80" s="18"/>
      <c r="Q80" s="110"/>
      <c r="R80" s="29"/>
      <c r="S80" s="22"/>
      <c r="T80" s="52"/>
      <c r="U80" s="22"/>
      <c r="V80" s="22"/>
      <c r="W80" s="39"/>
      <c r="X80" s="52"/>
    </row>
    <row r="81" spans="1:24" ht="14.25" customHeight="1">
      <c r="A81" s="97"/>
      <c r="B81" s="73"/>
      <c r="C81" s="98"/>
      <c r="D81" s="95"/>
      <c r="E81" s="99"/>
      <c r="F81" s="127"/>
      <c r="G81" s="102"/>
      <c r="H81" s="35"/>
      <c r="I81" s="101"/>
      <c r="J81" s="35"/>
      <c r="K81" s="101"/>
      <c r="L81" s="35"/>
      <c r="M81" s="101"/>
      <c r="N81" s="19"/>
      <c r="O81" s="122"/>
      <c r="P81" s="19"/>
      <c r="Q81" s="104"/>
      <c r="R81" s="29"/>
      <c r="S81" s="56"/>
      <c r="T81" s="52"/>
      <c r="U81" s="22"/>
      <c r="V81" s="55"/>
      <c r="W81" s="57"/>
      <c r="X81" s="52"/>
    </row>
    <row r="82" spans="1:24" ht="12.75" customHeight="1">
      <c r="A82" s="97"/>
      <c r="B82" s="73"/>
      <c r="C82" s="20"/>
      <c r="D82" s="20"/>
      <c r="E82" s="105"/>
      <c r="F82" s="126"/>
      <c r="G82" s="106"/>
      <c r="H82" s="35"/>
      <c r="I82" s="106"/>
      <c r="J82" s="35"/>
      <c r="K82" s="18"/>
      <c r="L82" s="35"/>
      <c r="M82" s="18"/>
      <c r="N82" s="19"/>
      <c r="O82" s="18"/>
      <c r="P82" s="18"/>
      <c r="Q82" s="18"/>
      <c r="R82" s="29"/>
      <c r="S82" s="22"/>
      <c r="T82" s="52"/>
      <c r="U82" s="22"/>
      <c r="V82" s="22"/>
      <c r="W82" s="22"/>
      <c r="X82" s="52"/>
    </row>
    <row r="83" spans="1:24" ht="14.25" customHeight="1">
      <c r="A83" s="97"/>
      <c r="B83" s="112"/>
      <c r="C83" s="95"/>
      <c r="D83" s="95"/>
      <c r="E83" s="108"/>
      <c r="F83" s="128"/>
      <c r="G83" s="17"/>
      <c r="H83" s="35"/>
      <c r="I83" s="17"/>
      <c r="J83" s="35"/>
      <c r="K83" s="17"/>
      <c r="L83" s="35"/>
      <c r="M83" s="17"/>
      <c r="N83" s="19"/>
      <c r="O83" s="18"/>
      <c r="P83" s="18"/>
      <c r="Q83" s="23"/>
      <c r="R83" s="29"/>
      <c r="S83" s="17"/>
      <c r="T83" s="52"/>
      <c r="U83" s="22"/>
      <c r="V83" s="22"/>
      <c r="W83" s="39"/>
      <c r="X83" s="52"/>
    </row>
    <row r="84" spans="1:24" ht="14.25" customHeight="1">
      <c r="A84" s="97"/>
      <c r="B84" s="73"/>
      <c r="C84" s="20"/>
      <c r="D84" s="20"/>
      <c r="E84" s="20"/>
      <c r="F84" s="126"/>
      <c r="G84" s="22"/>
      <c r="H84" s="35"/>
      <c r="I84" s="18"/>
      <c r="J84" s="35"/>
      <c r="K84" s="18"/>
      <c r="L84" s="35"/>
      <c r="M84" s="18"/>
      <c r="N84" s="19"/>
      <c r="O84" s="18"/>
      <c r="P84" s="18"/>
      <c r="Q84" s="110"/>
      <c r="R84" s="29"/>
      <c r="S84" s="22"/>
      <c r="T84" s="52"/>
      <c r="U84" s="22"/>
      <c r="V84" s="22"/>
      <c r="W84" s="39"/>
      <c r="X84" s="52"/>
    </row>
    <row r="85" spans="1:24" ht="14.25" customHeight="1">
      <c r="A85" s="97"/>
      <c r="B85" s="73"/>
      <c r="C85" s="98"/>
      <c r="D85" s="95"/>
      <c r="E85" s="99"/>
      <c r="F85" s="127"/>
      <c r="G85" s="102"/>
      <c r="H85" s="35"/>
      <c r="I85" s="101"/>
      <c r="J85" s="35"/>
      <c r="K85" s="101"/>
      <c r="L85" s="35"/>
      <c r="M85" s="101"/>
      <c r="N85" s="19"/>
      <c r="O85" s="122"/>
      <c r="P85" s="19"/>
      <c r="Q85" s="104"/>
      <c r="R85" s="29"/>
      <c r="S85" s="56"/>
      <c r="T85" s="52"/>
      <c r="U85" s="22"/>
      <c r="V85" s="55"/>
      <c r="W85" s="57"/>
      <c r="X85" s="52"/>
    </row>
    <row r="86" spans="1:24" ht="12.75" customHeight="1">
      <c r="A86" s="97"/>
      <c r="B86" s="73"/>
      <c r="C86" s="20"/>
      <c r="D86" s="20"/>
      <c r="E86" s="105"/>
      <c r="F86" s="126"/>
      <c r="G86" s="106"/>
      <c r="H86" s="35"/>
      <c r="I86" s="106"/>
      <c r="J86" s="35"/>
      <c r="K86" s="18"/>
      <c r="L86" s="35"/>
      <c r="M86" s="18"/>
      <c r="N86" s="19"/>
      <c r="O86" s="18"/>
      <c r="P86" s="18"/>
      <c r="Q86" s="18"/>
      <c r="R86" s="29"/>
      <c r="S86" s="22"/>
      <c r="T86" s="52"/>
      <c r="U86" s="22"/>
      <c r="V86" s="22"/>
      <c r="W86" s="22"/>
      <c r="X86" s="52"/>
    </row>
    <row r="87" spans="1:24" ht="14.25" customHeight="1">
      <c r="A87" s="97"/>
      <c r="B87" s="81"/>
      <c r="C87" s="95"/>
      <c r="D87" s="95"/>
      <c r="E87" s="108"/>
      <c r="F87" s="128"/>
      <c r="G87" s="17"/>
      <c r="H87" s="35"/>
      <c r="I87" s="17"/>
      <c r="J87" s="35"/>
      <c r="K87" s="17"/>
      <c r="L87" s="35"/>
      <c r="M87" s="17"/>
      <c r="N87" s="19"/>
      <c r="O87" s="18"/>
      <c r="P87" s="18"/>
      <c r="Q87" s="23"/>
      <c r="R87" s="29"/>
      <c r="S87" s="17"/>
      <c r="T87" s="52"/>
      <c r="U87" s="22"/>
      <c r="V87" s="22"/>
      <c r="W87" s="39"/>
      <c r="X87" s="52"/>
    </row>
    <row r="88" spans="1:24" ht="14.25" customHeight="1">
      <c r="A88" s="97"/>
      <c r="B88" s="73"/>
      <c r="C88" s="20"/>
      <c r="D88" s="20"/>
      <c r="E88" s="20"/>
      <c r="F88" s="126"/>
      <c r="G88" s="22"/>
      <c r="H88" s="35"/>
      <c r="I88" s="18"/>
      <c r="J88" s="35"/>
      <c r="K88" s="18"/>
      <c r="L88" s="35"/>
      <c r="M88" s="18"/>
      <c r="N88" s="19"/>
      <c r="O88" s="18"/>
      <c r="P88" s="18"/>
      <c r="Q88" s="110"/>
      <c r="R88" s="29"/>
      <c r="S88" s="22"/>
      <c r="T88" s="52"/>
      <c r="U88" s="22"/>
      <c r="V88" s="22"/>
      <c r="W88" s="39"/>
      <c r="X88" s="52"/>
    </row>
    <row r="89" spans="1:24" ht="14.25" customHeight="1">
      <c r="A89" s="97"/>
      <c r="B89" s="73"/>
      <c r="C89" s="98"/>
      <c r="D89" s="95"/>
      <c r="E89" s="99"/>
      <c r="F89" s="127"/>
      <c r="G89" s="102"/>
      <c r="H89" s="35"/>
      <c r="I89" s="101"/>
      <c r="J89" s="35"/>
      <c r="K89" s="101"/>
      <c r="L89" s="35"/>
      <c r="M89" s="101"/>
      <c r="N89" s="19"/>
      <c r="O89" s="122"/>
      <c r="P89" s="19"/>
      <c r="Q89" s="104"/>
      <c r="R89" s="29"/>
      <c r="S89" s="56"/>
      <c r="T89" s="52"/>
      <c r="U89" s="22"/>
      <c r="V89" s="55"/>
      <c r="W89" s="57"/>
      <c r="X89" s="52"/>
    </row>
    <row r="90" spans="1:24" ht="12.75" customHeight="1">
      <c r="A90" s="97"/>
      <c r="B90" s="73"/>
      <c r="C90" s="20"/>
      <c r="D90" s="20"/>
      <c r="E90" s="105"/>
      <c r="F90" s="126"/>
      <c r="G90" s="106"/>
      <c r="H90" s="35"/>
      <c r="I90" s="106"/>
      <c r="J90" s="35"/>
      <c r="K90" s="18"/>
      <c r="L90" s="35"/>
      <c r="M90" s="18"/>
      <c r="N90" s="19"/>
      <c r="O90" s="18"/>
      <c r="P90" s="18"/>
      <c r="Q90" s="18"/>
      <c r="R90" s="29"/>
      <c r="S90" s="22"/>
      <c r="T90" s="52"/>
      <c r="U90" s="22"/>
      <c r="V90" s="22"/>
      <c r="W90" s="22"/>
      <c r="X90" s="52"/>
    </row>
    <row r="91" spans="1:24" ht="14.25" customHeight="1">
      <c r="A91" s="97"/>
      <c r="B91" s="81"/>
      <c r="C91" s="95"/>
      <c r="D91" s="95"/>
      <c r="E91" s="108"/>
      <c r="F91" s="128"/>
      <c r="G91" s="17"/>
      <c r="H91" s="35"/>
      <c r="I91" s="17"/>
      <c r="J91" s="35"/>
      <c r="K91" s="17"/>
      <c r="L91" s="35"/>
      <c r="M91" s="17"/>
      <c r="N91" s="19"/>
      <c r="O91" s="18"/>
      <c r="P91" s="18"/>
      <c r="Q91" s="23"/>
      <c r="R91" s="29"/>
      <c r="S91" s="17"/>
      <c r="T91" s="52"/>
      <c r="U91" s="22"/>
      <c r="V91" s="22"/>
      <c r="W91" s="39"/>
      <c r="X91" s="52"/>
    </row>
    <row r="92" spans="1:24" ht="14.25" customHeight="1">
      <c r="A92" s="97"/>
      <c r="B92" s="73"/>
      <c r="C92" s="20"/>
      <c r="D92" s="20"/>
      <c r="E92" s="20"/>
      <c r="F92" s="126"/>
      <c r="G92" s="22"/>
      <c r="H92" s="35"/>
      <c r="I92" s="18"/>
      <c r="J92" s="35"/>
      <c r="K92" s="18"/>
      <c r="L92" s="35"/>
      <c r="M92" s="18"/>
      <c r="N92" s="19"/>
      <c r="O92" s="18"/>
      <c r="P92" s="18"/>
      <c r="Q92" s="110"/>
      <c r="R92" s="29"/>
      <c r="S92" s="22"/>
      <c r="T92" s="52"/>
      <c r="U92" s="22"/>
      <c r="V92" s="22"/>
      <c r="W92" s="39"/>
      <c r="X92" s="52"/>
    </row>
    <row r="93" spans="1:24" ht="14.25" customHeight="1">
      <c r="A93" s="97"/>
      <c r="B93" s="73"/>
      <c r="C93" s="98"/>
      <c r="D93" s="95"/>
      <c r="E93" s="99"/>
      <c r="F93" s="127"/>
      <c r="G93" s="102"/>
      <c r="H93" s="35"/>
      <c r="I93" s="101"/>
      <c r="J93" s="35"/>
      <c r="K93" s="101"/>
      <c r="L93" s="35"/>
      <c r="M93" s="101"/>
      <c r="N93" s="19"/>
      <c r="O93" s="122"/>
      <c r="P93" s="19"/>
      <c r="Q93" s="104"/>
      <c r="R93" s="29"/>
      <c r="S93" s="56"/>
      <c r="T93" s="52"/>
      <c r="U93" s="22"/>
      <c r="V93" s="55"/>
      <c r="W93" s="57"/>
      <c r="X93" s="52"/>
    </row>
    <row r="94" spans="1:24" ht="12.75" customHeight="1">
      <c r="A94" s="97"/>
      <c r="B94" s="73"/>
      <c r="C94" s="20"/>
      <c r="D94" s="20"/>
      <c r="E94" s="105"/>
      <c r="F94" s="126"/>
      <c r="G94" s="106"/>
      <c r="H94" s="35"/>
      <c r="I94" s="106"/>
      <c r="J94" s="35"/>
      <c r="K94" s="18"/>
      <c r="L94" s="35"/>
      <c r="M94" s="18"/>
      <c r="N94" s="19"/>
      <c r="O94" s="18"/>
      <c r="P94" s="18"/>
      <c r="Q94" s="18"/>
      <c r="R94" s="29"/>
      <c r="S94" s="22"/>
      <c r="T94" s="52"/>
      <c r="U94" s="22"/>
      <c r="V94" s="22"/>
      <c r="W94" s="22"/>
      <c r="X94" s="52"/>
    </row>
    <row r="95" spans="1:24" ht="14.25" customHeight="1">
      <c r="A95" s="97"/>
      <c r="B95" s="81"/>
      <c r="C95" s="95"/>
      <c r="D95" s="95"/>
      <c r="E95" s="108"/>
      <c r="F95" s="128"/>
      <c r="G95" s="17"/>
      <c r="H95" s="35"/>
      <c r="I95" s="17"/>
      <c r="J95" s="35"/>
      <c r="K95" s="17"/>
      <c r="L95" s="35"/>
      <c r="M95" s="17"/>
      <c r="N95" s="19"/>
      <c r="O95" s="18"/>
      <c r="P95" s="18"/>
      <c r="Q95" s="23"/>
      <c r="R95" s="29"/>
      <c r="S95" s="17"/>
      <c r="T95" s="52"/>
      <c r="U95" s="22"/>
      <c r="V95" s="22"/>
      <c r="W95" s="39"/>
      <c r="X95" s="52"/>
    </row>
    <row r="96" spans="1:24" ht="14.25" customHeight="1">
      <c r="A96" s="97"/>
      <c r="B96" s="81"/>
      <c r="C96" s="20"/>
      <c r="D96" s="20"/>
      <c r="E96" s="20"/>
      <c r="F96" s="126"/>
      <c r="G96" s="22"/>
      <c r="H96" s="35"/>
      <c r="I96" s="18"/>
      <c r="J96" s="35"/>
      <c r="K96" s="18"/>
      <c r="L96" s="35"/>
      <c r="M96" s="18"/>
      <c r="N96" s="19"/>
      <c r="O96" s="18"/>
      <c r="P96" s="18"/>
      <c r="Q96" s="110"/>
      <c r="R96" s="29"/>
      <c r="S96" s="22"/>
      <c r="T96" s="52"/>
      <c r="U96" s="22"/>
      <c r="V96" s="22"/>
      <c r="W96" s="39"/>
      <c r="X96" s="52"/>
    </row>
    <row r="97" spans="1:24" ht="14.25" customHeight="1">
      <c r="A97" s="97"/>
      <c r="B97" s="81"/>
      <c r="C97" s="98"/>
      <c r="D97" s="95"/>
      <c r="E97" s="99"/>
      <c r="F97" s="127"/>
      <c r="G97" s="102"/>
      <c r="H97" s="35"/>
      <c r="I97" s="101"/>
      <c r="J97" s="35"/>
      <c r="K97" s="101"/>
      <c r="L97" s="35"/>
      <c r="M97" s="101"/>
      <c r="N97" s="19"/>
      <c r="O97" s="122"/>
      <c r="P97" s="19"/>
      <c r="Q97" s="104"/>
      <c r="R97" s="29"/>
      <c r="S97" s="56"/>
      <c r="T97" s="52"/>
      <c r="U97" s="22"/>
      <c r="V97" s="55"/>
      <c r="W97" s="57"/>
      <c r="X97" s="52"/>
    </row>
    <row r="98" spans="1:24" ht="12.75" customHeight="1">
      <c r="A98" s="97"/>
      <c r="B98" s="81"/>
      <c r="C98" s="20"/>
      <c r="D98" s="20"/>
      <c r="E98" s="105"/>
      <c r="F98" s="126"/>
      <c r="G98" s="106"/>
      <c r="H98" s="35"/>
      <c r="I98" s="106"/>
      <c r="J98" s="35"/>
      <c r="K98" s="18"/>
      <c r="L98" s="35"/>
      <c r="M98" s="18"/>
      <c r="N98" s="19"/>
      <c r="O98" s="18"/>
      <c r="P98" s="18"/>
      <c r="Q98" s="18"/>
      <c r="R98" s="29"/>
      <c r="S98" s="22"/>
      <c r="T98" s="52"/>
      <c r="U98" s="22"/>
      <c r="V98" s="22"/>
      <c r="W98" s="22"/>
      <c r="X98" s="52"/>
    </row>
    <row r="99" spans="1:24" ht="14.25" customHeight="1">
      <c r="A99" s="97"/>
      <c r="B99" s="81"/>
      <c r="C99" s="95"/>
      <c r="D99" s="95"/>
      <c r="E99" s="108"/>
      <c r="F99" s="128"/>
      <c r="G99" s="17"/>
      <c r="H99" s="35"/>
      <c r="I99" s="17"/>
      <c r="J99" s="35"/>
      <c r="K99" s="17"/>
      <c r="L99" s="35"/>
      <c r="M99" s="17"/>
      <c r="N99" s="19"/>
      <c r="O99" s="18"/>
      <c r="P99" s="18"/>
      <c r="Q99" s="23"/>
      <c r="R99" s="29"/>
      <c r="S99" s="17"/>
      <c r="T99" s="52"/>
      <c r="U99" s="22"/>
      <c r="V99" s="22"/>
      <c r="W99" s="39"/>
      <c r="X99" s="52"/>
    </row>
    <row r="100" spans="1:24" ht="14.25" customHeight="1">
      <c r="A100" s="97"/>
      <c r="B100" s="73"/>
      <c r="C100" s="20"/>
      <c r="D100" s="20"/>
      <c r="E100" s="38"/>
      <c r="F100" s="126"/>
      <c r="G100" s="22"/>
      <c r="H100" s="35"/>
      <c r="I100" s="18"/>
      <c r="J100" s="35"/>
      <c r="K100" s="18"/>
      <c r="L100" s="35"/>
      <c r="M100" s="18"/>
      <c r="N100" s="19"/>
      <c r="O100" s="18"/>
      <c r="P100" s="18"/>
      <c r="Q100" s="110"/>
      <c r="R100" s="29"/>
      <c r="S100" s="22"/>
      <c r="T100" s="52"/>
      <c r="U100" s="22"/>
      <c r="V100" s="22"/>
      <c r="W100" s="39"/>
      <c r="X100" s="52"/>
    </row>
    <row r="101" spans="1:23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:23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1:19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</sheetData>
  <sheetProtection/>
  <printOptions/>
  <pageMargins left="0.2755905511811024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02"/>
  <sheetViews>
    <sheetView zoomScale="140" zoomScaleNormal="140" zoomScalePageLayoutView="0" workbookViewId="0" topLeftCell="A1">
      <selection activeCell="E24" sqref="E24"/>
    </sheetView>
  </sheetViews>
  <sheetFormatPr defaultColWidth="9.140625" defaultRowHeight="12.75"/>
  <cols>
    <col min="1" max="2" width="7.7109375" style="0" customWidth="1"/>
    <col min="3" max="3" width="4.7109375" style="0" customWidth="1"/>
    <col min="4" max="4" width="19.7109375" style="0" customWidth="1"/>
    <col min="5" max="5" width="13.7109375" style="0" customWidth="1"/>
    <col min="6" max="6" width="0.85546875" style="0" customWidth="1"/>
    <col min="7" max="7" width="7.7109375" style="0" customWidth="1"/>
    <col min="8" max="8" width="0.85546875" style="0" customWidth="1"/>
    <col min="9" max="9" width="7.7109375" style="0" customWidth="1"/>
    <col min="10" max="10" width="0.85546875" style="0" customWidth="1"/>
    <col min="11" max="11" width="7.7109375" style="0" customWidth="1"/>
    <col min="12" max="12" width="0.85546875" style="0" customWidth="1"/>
    <col min="13" max="13" width="7.7109375" style="0" customWidth="1"/>
    <col min="14" max="14" width="0.85546875" style="0" customWidth="1"/>
    <col min="15" max="15" width="2.57421875" style="0" customWidth="1"/>
    <col min="16" max="16" width="0.85546875" style="0" customWidth="1"/>
    <col min="17" max="17" width="5.421875" style="0" customWidth="1"/>
    <col min="18" max="18" width="0.85546875" style="0" customWidth="1"/>
    <col min="19" max="19" width="7.7109375" style="0" customWidth="1"/>
    <col min="20" max="20" width="0.85546875" style="0" customWidth="1"/>
    <col min="21" max="21" width="2.57421875" style="0" customWidth="1"/>
    <col min="22" max="22" width="0.85546875" style="0" customWidth="1"/>
    <col min="23" max="23" width="5.421875" style="0" customWidth="1"/>
    <col min="24" max="24" width="0.85546875" style="0" customWidth="1"/>
    <col min="26" max="26" width="0.85546875" style="0" customWidth="1"/>
  </cols>
  <sheetData>
    <row r="1" ht="12.75">
      <c r="H1" s="7"/>
    </row>
    <row r="2" spans="1:2" ht="15.75">
      <c r="A2" s="1" t="s">
        <v>30</v>
      </c>
      <c r="B2" s="1"/>
    </row>
    <row r="3" spans="1:2" ht="15.75">
      <c r="A3" s="1" t="s">
        <v>31</v>
      </c>
      <c r="B3" s="1"/>
    </row>
    <row r="4" spans="1:2" ht="15.75">
      <c r="A4" s="1" t="s">
        <v>120</v>
      </c>
      <c r="B4" s="1"/>
    </row>
    <row r="5" ht="14.25" customHeight="1"/>
    <row r="6" spans="5:9" ht="13.5" customHeight="1">
      <c r="E6" s="148" t="s">
        <v>72</v>
      </c>
      <c r="G6" s="147">
        <v>2721</v>
      </c>
      <c r="I6" s="59" t="s">
        <v>98</v>
      </c>
    </row>
    <row r="7" spans="1:9" ht="15.75">
      <c r="A7" s="6" t="s">
        <v>36</v>
      </c>
      <c r="B7" s="6"/>
      <c r="E7" s="151" t="s">
        <v>0</v>
      </c>
      <c r="G7" s="151">
        <v>2721</v>
      </c>
      <c r="H7" s="41"/>
      <c r="I7" s="41" t="s">
        <v>98</v>
      </c>
    </row>
    <row r="8" spans="1:24" ht="12.75">
      <c r="A8" s="41" t="s">
        <v>29</v>
      </c>
      <c r="B8" s="41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5:24" ht="12.75">
      <c r="E9" s="16"/>
      <c r="F9" s="16"/>
      <c r="G9" s="13" t="s">
        <v>14</v>
      </c>
      <c r="H9" s="42"/>
      <c r="I9" s="13" t="s">
        <v>17</v>
      </c>
      <c r="J9" s="13"/>
      <c r="K9" s="13" t="s">
        <v>50</v>
      </c>
      <c r="L9" s="42"/>
      <c r="M9" s="13" t="s">
        <v>4</v>
      </c>
      <c r="N9" s="13"/>
      <c r="O9" s="13"/>
      <c r="P9" s="13"/>
      <c r="Q9" s="13" t="s">
        <v>15</v>
      </c>
      <c r="R9" s="13"/>
      <c r="S9" s="42"/>
      <c r="T9" s="42"/>
      <c r="U9" s="42"/>
      <c r="V9" s="42"/>
      <c r="W9" s="43"/>
      <c r="X9" s="16"/>
    </row>
    <row r="10" spans="1:24" ht="14.25" customHeight="1">
      <c r="A10" s="13" t="s">
        <v>1</v>
      </c>
      <c r="B10" s="58" t="s">
        <v>37</v>
      </c>
      <c r="C10" s="62" t="s">
        <v>21</v>
      </c>
      <c r="D10" s="11" t="s">
        <v>9</v>
      </c>
      <c r="E10" s="60" t="s">
        <v>20</v>
      </c>
      <c r="F10" s="16"/>
      <c r="G10" s="21" t="s">
        <v>23</v>
      </c>
      <c r="H10" s="45"/>
      <c r="I10" s="21" t="s">
        <v>23</v>
      </c>
      <c r="J10" s="12"/>
      <c r="K10" s="21" t="s">
        <v>22</v>
      </c>
      <c r="L10" s="45"/>
      <c r="M10" s="21" t="s">
        <v>23</v>
      </c>
      <c r="N10" s="12"/>
      <c r="O10" s="12"/>
      <c r="P10" s="12"/>
      <c r="Q10" s="21" t="s">
        <v>22</v>
      </c>
      <c r="R10" s="12"/>
      <c r="S10" s="44"/>
      <c r="T10" s="45"/>
      <c r="U10" s="45"/>
      <c r="V10" s="45"/>
      <c r="W10" s="44"/>
      <c r="X10" s="16"/>
    </row>
    <row r="11" spans="1:24" ht="12.75">
      <c r="A11" s="13" t="s">
        <v>2</v>
      </c>
      <c r="B11" s="58" t="s">
        <v>2</v>
      </c>
      <c r="E11" s="10"/>
      <c r="F11" s="46"/>
      <c r="G11" s="14"/>
      <c r="H11" s="48"/>
      <c r="I11" s="14" t="s">
        <v>11</v>
      </c>
      <c r="J11" s="7"/>
      <c r="K11" s="14" t="s">
        <v>11</v>
      </c>
      <c r="L11" s="48"/>
      <c r="M11" s="14"/>
      <c r="N11" s="7"/>
      <c r="O11" s="7"/>
      <c r="P11" s="7"/>
      <c r="Q11" s="14"/>
      <c r="R11" s="7"/>
      <c r="S11" s="47"/>
      <c r="T11" s="48"/>
      <c r="U11" s="48"/>
      <c r="V11" s="48"/>
      <c r="W11" s="47"/>
      <c r="X11" s="16"/>
    </row>
    <row r="12" spans="3:24" ht="14.25" customHeight="1">
      <c r="C12" s="11" t="s">
        <v>10</v>
      </c>
      <c r="E12" s="61" t="s">
        <v>19</v>
      </c>
      <c r="F12" s="48"/>
      <c r="G12" s="14" t="s">
        <v>12</v>
      </c>
      <c r="H12" s="48"/>
      <c r="I12" s="14" t="s">
        <v>12</v>
      </c>
      <c r="J12" s="7"/>
      <c r="K12" s="14" t="s">
        <v>12</v>
      </c>
      <c r="L12" s="48"/>
      <c r="M12" s="14" t="s">
        <v>12</v>
      </c>
      <c r="N12" s="7"/>
      <c r="O12" s="7"/>
      <c r="P12" s="7"/>
      <c r="Q12" s="14" t="s">
        <v>12</v>
      </c>
      <c r="R12" s="7"/>
      <c r="S12" s="47"/>
      <c r="T12" s="48"/>
      <c r="U12" s="48"/>
      <c r="V12" s="48"/>
      <c r="W12" s="47"/>
      <c r="X12" s="16"/>
    </row>
    <row r="13" spans="1:24" ht="12.75">
      <c r="A13" s="8"/>
      <c r="B13" s="8"/>
      <c r="C13" s="8"/>
      <c r="D13" s="8"/>
      <c r="E13" s="8"/>
      <c r="F13" s="49"/>
      <c r="G13" s="15" t="s">
        <v>13</v>
      </c>
      <c r="H13" s="50"/>
      <c r="I13" s="15" t="s">
        <v>13</v>
      </c>
      <c r="J13" s="9"/>
      <c r="K13" s="15" t="s">
        <v>13</v>
      </c>
      <c r="L13" s="50"/>
      <c r="M13" s="15" t="s">
        <v>13</v>
      </c>
      <c r="N13" s="9"/>
      <c r="O13" s="9"/>
      <c r="P13" s="9"/>
      <c r="Q13" s="15" t="s">
        <v>13</v>
      </c>
      <c r="R13" s="9"/>
      <c r="S13" s="22"/>
      <c r="T13" s="55"/>
      <c r="U13" s="55"/>
      <c r="V13" s="55"/>
      <c r="W13" s="22"/>
      <c r="X13" s="16"/>
    </row>
    <row r="14" spans="1:24" ht="14.25" customHeight="1">
      <c r="A14" s="31"/>
      <c r="B14" s="73"/>
      <c r="C14" s="181">
        <v>720</v>
      </c>
      <c r="D14" s="130" t="s">
        <v>149</v>
      </c>
      <c r="E14" s="145" t="s">
        <v>301</v>
      </c>
      <c r="F14" s="51">
        <v>9</v>
      </c>
      <c r="G14" s="83">
        <v>6.63</v>
      </c>
      <c r="H14" s="34">
        <f>G16</f>
        <v>311</v>
      </c>
      <c r="I14" s="83">
        <v>4.75</v>
      </c>
      <c r="J14" s="34">
        <f>G17+I16</f>
        <v>803</v>
      </c>
      <c r="K14" s="82">
        <v>29.7</v>
      </c>
      <c r="L14" s="34">
        <f>I17+K16</f>
        <v>1289</v>
      </c>
      <c r="M14" s="83">
        <v>19.47</v>
      </c>
      <c r="N14" s="27">
        <f>K17+M16</f>
        <v>1568</v>
      </c>
      <c r="O14" s="84">
        <v>3</v>
      </c>
      <c r="P14" s="7" t="s">
        <v>25</v>
      </c>
      <c r="Q14" s="184" t="s">
        <v>348</v>
      </c>
      <c r="R14" s="28">
        <f>M17+Q16</f>
        <v>1867</v>
      </c>
      <c r="S14" s="56"/>
      <c r="T14" s="52"/>
      <c r="U14" s="22"/>
      <c r="V14" s="55"/>
      <c r="W14" s="57"/>
      <c r="X14" s="52"/>
    </row>
    <row r="15" spans="1:24" ht="12.75" customHeight="1">
      <c r="A15" s="32">
        <v>1</v>
      </c>
      <c r="B15" s="74"/>
      <c r="E15" s="10"/>
      <c r="F15" s="46">
        <v>10</v>
      </c>
      <c r="G15" s="14"/>
      <c r="H15" s="35">
        <f>G16</f>
        <v>311</v>
      </c>
      <c r="I15" s="85"/>
      <c r="J15" s="35">
        <f>G17+I16</f>
        <v>803</v>
      </c>
      <c r="K15" s="85"/>
      <c r="L15" s="35">
        <f>I17+K16</f>
        <v>1289</v>
      </c>
      <c r="M15" s="14"/>
      <c r="N15" s="19">
        <f>K17+M16</f>
        <v>1568</v>
      </c>
      <c r="O15" s="14"/>
      <c r="P15" s="14"/>
      <c r="Q15" s="14"/>
      <c r="R15" s="29">
        <f>M17+Q16</f>
        <v>1867</v>
      </c>
      <c r="S15" s="22"/>
      <c r="T15" s="52"/>
      <c r="U15" s="22"/>
      <c r="V15" s="22"/>
      <c r="W15" s="22"/>
      <c r="X15" s="52"/>
    </row>
    <row r="16" spans="1:24" ht="14.25" customHeight="1">
      <c r="A16" s="32"/>
      <c r="B16" s="175">
        <v>1</v>
      </c>
      <c r="C16" s="11" t="s">
        <v>101</v>
      </c>
      <c r="D16" s="11"/>
      <c r="E16" s="25">
        <f>R17</f>
        <v>1867</v>
      </c>
      <c r="F16" s="53">
        <v>11</v>
      </c>
      <c r="G16" s="17">
        <f>ROUNDDOWN(56.0211*((G14*1)-1.5)^1.05,0)</f>
        <v>311</v>
      </c>
      <c r="H16" s="35">
        <f>G16</f>
        <v>311</v>
      </c>
      <c r="I16" s="17">
        <f>ROUNDDOWN(0.188807*(100*(I14*1)-210)^1.41,0)</f>
        <v>492</v>
      </c>
      <c r="J16" s="35">
        <f>G17+I16</f>
        <v>803</v>
      </c>
      <c r="K16" s="39">
        <f>IF(K14=0,0,TRUNC(4.99087*((42.26-(K14*1))^1.81)))</f>
        <v>486</v>
      </c>
      <c r="L16" s="35">
        <f>I17+K16</f>
        <v>1289</v>
      </c>
      <c r="M16" s="17">
        <f>ROUNDDOWN(15.9803*((M14*1)-3.8)^1.04,0)</f>
        <v>279</v>
      </c>
      <c r="N16" s="19">
        <f>K17+M16</f>
        <v>1568</v>
      </c>
      <c r="O16" s="14"/>
      <c r="P16" s="14"/>
      <c r="Q16" s="23">
        <f>IF(O14+Q14=0,0,TRUNC(0.11193*((254-((O14*60+Q14)*1))^1.88)))</f>
        <v>299</v>
      </c>
      <c r="R16" s="29">
        <f>M17+Q16</f>
        <v>1867</v>
      </c>
      <c r="S16" s="17"/>
      <c r="T16" s="52"/>
      <c r="U16" s="22"/>
      <c r="V16" s="22"/>
      <c r="W16" s="39"/>
      <c r="X16" s="52"/>
    </row>
    <row r="17" spans="1:24" ht="14.25" customHeight="1">
      <c r="A17" s="33"/>
      <c r="B17" s="76"/>
      <c r="C17" s="8"/>
      <c r="D17" s="8"/>
      <c r="E17" s="8"/>
      <c r="F17" s="54">
        <v>12</v>
      </c>
      <c r="G17" s="15">
        <f>E17+G16</f>
        <v>311</v>
      </c>
      <c r="H17" s="36">
        <f>G16</f>
        <v>311</v>
      </c>
      <c r="I17" s="24">
        <f>G17+I16</f>
        <v>803</v>
      </c>
      <c r="J17" s="35">
        <f>G17+I16</f>
        <v>803</v>
      </c>
      <c r="K17" s="24">
        <f>I17+K16</f>
        <v>1289</v>
      </c>
      <c r="L17" s="35">
        <f>I17+K16</f>
        <v>1289</v>
      </c>
      <c r="M17" s="15">
        <f>K17+M16</f>
        <v>1568</v>
      </c>
      <c r="N17" s="19">
        <f>K17+M16</f>
        <v>1568</v>
      </c>
      <c r="O17" s="15"/>
      <c r="P17" s="15"/>
      <c r="Q17" s="24">
        <f>M17+Q16</f>
        <v>1867</v>
      </c>
      <c r="R17" s="29">
        <f>M17+Q16</f>
        <v>1867</v>
      </c>
      <c r="S17" s="22"/>
      <c r="T17" s="52"/>
      <c r="U17" s="22"/>
      <c r="V17" s="22"/>
      <c r="W17" s="39"/>
      <c r="X17" s="52"/>
    </row>
    <row r="18" spans="1:24" ht="14.25" customHeight="1">
      <c r="A18" s="31"/>
      <c r="B18" s="73"/>
      <c r="C18" s="181">
        <v>704</v>
      </c>
      <c r="D18" s="130" t="s">
        <v>125</v>
      </c>
      <c r="E18" s="145" t="s">
        <v>350</v>
      </c>
      <c r="F18" s="51">
        <v>1</v>
      </c>
      <c r="G18" s="83">
        <v>6.49</v>
      </c>
      <c r="H18" s="34">
        <f>G20</f>
        <v>302</v>
      </c>
      <c r="I18" s="83">
        <v>3.45</v>
      </c>
      <c r="J18" s="34">
        <f>G21+I20</f>
        <v>492</v>
      </c>
      <c r="K18" s="82">
        <v>34.6</v>
      </c>
      <c r="L18" s="34">
        <f>I21+K20</f>
        <v>690</v>
      </c>
      <c r="M18" s="83">
        <v>13.22</v>
      </c>
      <c r="N18" s="27">
        <f>K21+M20</f>
        <v>854</v>
      </c>
      <c r="O18" s="84">
        <v>3</v>
      </c>
      <c r="P18" s="7" t="s">
        <v>25</v>
      </c>
      <c r="Q18" s="184" t="s">
        <v>349</v>
      </c>
      <c r="R18" s="28">
        <f>M21+Q20</f>
        <v>991</v>
      </c>
      <c r="S18" s="56"/>
      <c r="T18" s="52"/>
      <c r="U18" s="22"/>
      <c r="V18" s="55"/>
      <c r="W18" s="57"/>
      <c r="X18" s="52"/>
    </row>
    <row r="19" spans="1:24" ht="12.75" customHeight="1">
      <c r="A19" s="32">
        <v>2</v>
      </c>
      <c r="B19" s="74"/>
      <c r="E19" s="10"/>
      <c r="F19" s="46">
        <v>2</v>
      </c>
      <c r="G19" s="14"/>
      <c r="H19" s="35">
        <f>G20</f>
        <v>302</v>
      </c>
      <c r="I19" s="85"/>
      <c r="J19" s="35">
        <f>G21+I20</f>
        <v>492</v>
      </c>
      <c r="K19" s="85"/>
      <c r="L19" s="35">
        <f>I21+K20</f>
        <v>690</v>
      </c>
      <c r="M19" s="14"/>
      <c r="N19" s="19">
        <f>K21+M20</f>
        <v>854</v>
      </c>
      <c r="O19" s="14"/>
      <c r="P19" s="14"/>
      <c r="Q19" s="14"/>
      <c r="R19" s="29">
        <f>M21+Q20</f>
        <v>991</v>
      </c>
      <c r="S19" s="22"/>
      <c r="T19" s="52"/>
      <c r="U19" s="22"/>
      <c r="V19" s="22"/>
      <c r="W19" s="22"/>
      <c r="X19" s="52"/>
    </row>
    <row r="20" spans="1:24" ht="14.25" customHeight="1">
      <c r="A20" s="32"/>
      <c r="B20" s="192">
        <v>2</v>
      </c>
      <c r="C20" s="11" t="s">
        <v>103</v>
      </c>
      <c r="D20" s="11"/>
      <c r="E20" s="25">
        <f>R21</f>
        <v>991</v>
      </c>
      <c r="F20" s="53">
        <v>3</v>
      </c>
      <c r="G20" s="17">
        <f>ROUNDDOWN(56.0211*((G18*1)-1.5)^1.05,0)</f>
        <v>302</v>
      </c>
      <c r="H20" s="35">
        <f>G20</f>
        <v>302</v>
      </c>
      <c r="I20" s="17">
        <f>ROUNDDOWN(0.188807*(100*(I18*1)-210)^1.41,0)</f>
        <v>190</v>
      </c>
      <c r="J20" s="35">
        <f>G21+I20</f>
        <v>492</v>
      </c>
      <c r="K20" s="39">
        <f>IF(K18=0,0,TRUNC(4.99087*((42.26-(K18*1))^1.81)))</f>
        <v>198</v>
      </c>
      <c r="L20" s="35">
        <f>I21+K20</f>
        <v>690</v>
      </c>
      <c r="M20" s="17">
        <f>ROUNDDOWN(15.9803*((M18*1)-3.8)^1.04,0)</f>
        <v>164</v>
      </c>
      <c r="N20" s="19">
        <f>K21+M20</f>
        <v>854</v>
      </c>
      <c r="O20" s="14"/>
      <c r="P20" s="14"/>
      <c r="Q20" s="23">
        <f>IF(O18+Q18=0,0,TRUNC(0.11193*((254-((O18*60+Q18)*1))^1.88)))</f>
        <v>137</v>
      </c>
      <c r="R20" s="29">
        <f>M21+Q20</f>
        <v>991</v>
      </c>
      <c r="S20" s="17"/>
      <c r="T20" s="52"/>
      <c r="U20" s="22"/>
      <c r="V20" s="22"/>
      <c r="W20" s="39"/>
      <c r="X20" s="52"/>
    </row>
    <row r="21" spans="1:24" ht="14.25" customHeight="1">
      <c r="A21" s="33"/>
      <c r="B21" s="76"/>
      <c r="C21" s="8"/>
      <c r="D21" s="8"/>
      <c r="E21" s="8"/>
      <c r="F21" s="54">
        <v>4</v>
      </c>
      <c r="G21" s="15">
        <f>E21+G20</f>
        <v>302</v>
      </c>
      <c r="H21" s="36">
        <f>G20</f>
        <v>302</v>
      </c>
      <c r="I21" s="24">
        <f>G21+I20</f>
        <v>492</v>
      </c>
      <c r="J21" s="35">
        <f>G21+I20</f>
        <v>492</v>
      </c>
      <c r="K21" s="24">
        <f>I21+K20</f>
        <v>690</v>
      </c>
      <c r="L21" s="35">
        <f>I21+K20</f>
        <v>690</v>
      </c>
      <c r="M21" s="15">
        <f>K21+M20</f>
        <v>854</v>
      </c>
      <c r="N21" s="19">
        <f>K21+M20</f>
        <v>854</v>
      </c>
      <c r="O21" s="15"/>
      <c r="P21" s="15"/>
      <c r="Q21" s="24">
        <f>M21+Q20</f>
        <v>991</v>
      </c>
      <c r="R21" s="29">
        <f>M21+Q20</f>
        <v>991</v>
      </c>
      <c r="S21" s="22"/>
      <c r="T21" s="52"/>
      <c r="U21" s="22"/>
      <c r="V21" s="22"/>
      <c r="W21" s="39"/>
      <c r="X21" s="52"/>
    </row>
    <row r="22" spans="1:25" ht="14.25" customHeight="1">
      <c r="A22" s="31"/>
      <c r="B22" s="73"/>
      <c r="C22" s="181"/>
      <c r="D22" s="130"/>
      <c r="E22" s="91"/>
      <c r="F22" s="51"/>
      <c r="G22" s="83"/>
      <c r="H22" s="34"/>
      <c r="I22" s="83"/>
      <c r="J22" s="34"/>
      <c r="K22" s="82"/>
      <c r="L22" s="34"/>
      <c r="M22" s="83"/>
      <c r="N22" s="27"/>
      <c r="O22" s="84"/>
      <c r="P22" s="7"/>
      <c r="Q22" s="86"/>
      <c r="R22" s="28"/>
      <c r="S22" s="56"/>
      <c r="T22" s="52"/>
      <c r="U22" s="22"/>
      <c r="V22" s="55"/>
      <c r="W22" s="57"/>
      <c r="X22" s="52"/>
      <c r="Y22" s="189"/>
    </row>
    <row r="23" spans="1:24" ht="12.75" customHeight="1">
      <c r="A23" s="32"/>
      <c r="B23" s="74"/>
      <c r="E23" s="10"/>
      <c r="F23" s="46"/>
      <c r="G23" s="14"/>
      <c r="H23" s="35"/>
      <c r="I23" s="85"/>
      <c r="J23" s="35"/>
      <c r="K23" s="85"/>
      <c r="L23" s="35"/>
      <c r="M23" s="14"/>
      <c r="N23" s="19"/>
      <c r="O23" s="14"/>
      <c r="P23" s="14"/>
      <c r="Q23" s="14"/>
      <c r="R23" s="29"/>
      <c r="S23" s="22"/>
      <c r="T23" s="52"/>
      <c r="U23" s="22"/>
      <c r="V23" s="22"/>
      <c r="W23" s="22"/>
      <c r="X23" s="52"/>
    </row>
    <row r="24" spans="1:24" ht="14.25" customHeight="1">
      <c r="A24" s="32"/>
      <c r="B24" s="176"/>
      <c r="C24" s="11"/>
      <c r="D24" s="11"/>
      <c r="E24" s="25"/>
      <c r="F24" s="53"/>
      <c r="G24" s="17"/>
      <c r="H24" s="35"/>
      <c r="I24" s="17"/>
      <c r="J24" s="35"/>
      <c r="K24" s="39"/>
      <c r="L24" s="35"/>
      <c r="M24" s="17"/>
      <c r="N24" s="19"/>
      <c r="O24" s="14"/>
      <c r="P24" s="14"/>
      <c r="Q24" s="23"/>
      <c r="R24" s="29"/>
      <c r="S24" s="17"/>
      <c r="T24" s="52"/>
      <c r="U24" s="22"/>
      <c r="V24" s="22"/>
      <c r="W24" s="39"/>
      <c r="X24" s="52"/>
    </row>
    <row r="25" spans="1:24" ht="14.25" customHeight="1">
      <c r="A25" s="97"/>
      <c r="B25" s="73"/>
      <c r="C25" s="20"/>
      <c r="D25" s="20"/>
      <c r="E25" s="20"/>
      <c r="F25" s="126"/>
      <c r="G25" s="18"/>
      <c r="H25" s="35"/>
      <c r="I25" s="110"/>
      <c r="J25" s="35"/>
      <c r="K25" s="110"/>
      <c r="L25" s="35"/>
      <c r="M25" s="18"/>
      <c r="N25" s="19"/>
      <c r="O25" s="18"/>
      <c r="P25" s="18"/>
      <c r="Q25" s="110"/>
      <c r="R25" s="29"/>
      <c r="S25" s="22"/>
      <c r="T25" s="52"/>
      <c r="U25" s="22"/>
      <c r="V25" s="22"/>
      <c r="W25" s="39"/>
      <c r="X25" s="52"/>
    </row>
    <row r="26" spans="1:24" ht="14.25" customHeight="1">
      <c r="A26" s="97"/>
      <c r="B26" s="73"/>
      <c r="C26" s="98"/>
      <c r="D26" s="95"/>
      <c r="E26" s="99"/>
      <c r="F26" s="127"/>
      <c r="G26" s="102"/>
      <c r="H26" s="35"/>
      <c r="I26" s="101"/>
      <c r="J26" s="35"/>
      <c r="K26" s="101"/>
      <c r="L26" s="35"/>
      <c r="M26" s="101"/>
      <c r="N26" s="19"/>
      <c r="O26" s="122"/>
      <c r="P26" s="19"/>
      <c r="Q26" s="104"/>
      <c r="R26" s="29"/>
      <c r="S26" s="56"/>
      <c r="T26" s="52"/>
      <c r="U26" s="22"/>
      <c r="V26" s="55"/>
      <c r="W26" s="57"/>
      <c r="X26" s="52"/>
    </row>
    <row r="27" spans="1:24" ht="12.75" customHeight="1">
      <c r="A27" s="97"/>
      <c r="B27" s="73"/>
      <c r="C27" s="20"/>
      <c r="D27" s="20"/>
      <c r="E27" s="105"/>
      <c r="F27" s="126"/>
      <c r="G27" s="106"/>
      <c r="H27" s="35"/>
      <c r="I27" s="18"/>
      <c r="J27" s="35"/>
      <c r="K27" s="106"/>
      <c r="L27" s="35"/>
      <c r="M27" s="18"/>
      <c r="N27" s="19"/>
      <c r="O27" s="18"/>
      <c r="P27" s="18"/>
      <c r="Q27" s="18"/>
      <c r="R27" s="29"/>
      <c r="S27" s="22"/>
      <c r="T27" s="52"/>
      <c r="U27" s="22"/>
      <c r="V27" s="22"/>
      <c r="W27" s="22"/>
      <c r="X27" s="52"/>
    </row>
    <row r="28" spans="1:24" ht="14.25" customHeight="1">
      <c r="A28" s="97"/>
      <c r="B28" s="81"/>
      <c r="C28" s="95"/>
      <c r="D28" s="95"/>
      <c r="E28" s="108"/>
      <c r="F28" s="128"/>
      <c r="G28" s="39"/>
      <c r="H28" s="35"/>
      <c r="I28" s="17"/>
      <c r="J28" s="35"/>
      <c r="K28" s="17"/>
      <c r="L28" s="35"/>
      <c r="M28" s="17"/>
      <c r="N28" s="19"/>
      <c r="O28" s="18"/>
      <c r="P28" s="18"/>
      <c r="Q28" s="23"/>
      <c r="R28" s="29"/>
      <c r="S28" s="17"/>
      <c r="T28" s="52"/>
      <c r="U28" s="22"/>
      <c r="V28" s="22"/>
      <c r="W28" s="39"/>
      <c r="X28" s="52"/>
    </row>
    <row r="29" spans="1:24" ht="14.25" customHeight="1">
      <c r="A29" s="97"/>
      <c r="B29" s="73"/>
      <c r="C29" s="20"/>
      <c r="D29" s="20"/>
      <c r="E29" s="20"/>
      <c r="F29" s="126"/>
      <c r="G29" s="110"/>
      <c r="H29" s="35"/>
      <c r="I29" s="18"/>
      <c r="J29" s="35"/>
      <c r="K29" s="110"/>
      <c r="L29" s="35"/>
      <c r="M29" s="18"/>
      <c r="N29" s="19"/>
      <c r="O29" s="18"/>
      <c r="P29" s="18"/>
      <c r="Q29" s="110"/>
      <c r="R29" s="29"/>
      <c r="S29" s="22"/>
      <c r="T29" s="52"/>
      <c r="U29" s="22"/>
      <c r="V29" s="22"/>
      <c r="W29" s="39"/>
      <c r="X29" s="52"/>
    </row>
    <row r="30" spans="1:24" ht="14.25" customHeight="1">
      <c r="A30" s="97"/>
      <c r="B30" s="73"/>
      <c r="C30" s="98"/>
      <c r="D30" s="95"/>
      <c r="E30" s="99"/>
      <c r="F30" s="127"/>
      <c r="G30" s="102"/>
      <c r="H30" s="35"/>
      <c r="I30" s="101"/>
      <c r="J30" s="35"/>
      <c r="K30" s="101"/>
      <c r="L30" s="35"/>
      <c r="M30" s="101"/>
      <c r="N30" s="19"/>
      <c r="O30" s="122"/>
      <c r="P30" s="19"/>
      <c r="Q30" s="104"/>
      <c r="R30" s="29"/>
      <c r="S30" s="56"/>
      <c r="T30" s="52"/>
      <c r="U30" s="22"/>
      <c r="V30" s="55"/>
      <c r="W30" s="57"/>
      <c r="X30" s="52"/>
    </row>
    <row r="31" spans="1:24" ht="12.75" customHeight="1">
      <c r="A31" s="97"/>
      <c r="B31" s="73"/>
      <c r="C31" s="20"/>
      <c r="D31" s="20"/>
      <c r="E31" s="105"/>
      <c r="F31" s="126"/>
      <c r="G31" s="106"/>
      <c r="H31" s="35"/>
      <c r="I31" s="18"/>
      <c r="J31" s="35"/>
      <c r="K31" s="106"/>
      <c r="L31" s="35"/>
      <c r="M31" s="18"/>
      <c r="N31" s="19"/>
      <c r="O31" s="18"/>
      <c r="P31" s="18"/>
      <c r="Q31" s="18"/>
      <c r="R31" s="29"/>
      <c r="S31" s="22"/>
      <c r="T31" s="52"/>
      <c r="U31" s="22"/>
      <c r="V31" s="22"/>
      <c r="W31" s="22"/>
      <c r="X31" s="52"/>
    </row>
    <row r="32" spans="1:24" ht="14.25" customHeight="1">
      <c r="A32" s="97"/>
      <c r="B32" s="81"/>
      <c r="C32" s="95"/>
      <c r="D32" s="95"/>
      <c r="E32" s="108"/>
      <c r="F32" s="128"/>
      <c r="G32" s="39"/>
      <c r="H32" s="35"/>
      <c r="I32" s="17"/>
      <c r="J32" s="35"/>
      <c r="K32" s="17"/>
      <c r="L32" s="35"/>
      <c r="M32" s="17"/>
      <c r="N32" s="19"/>
      <c r="O32" s="18"/>
      <c r="P32" s="18"/>
      <c r="Q32" s="23"/>
      <c r="R32" s="29"/>
      <c r="S32" s="17"/>
      <c r="T32" s="52"/>
      <c r="U32" s="22"/>
      <c r="V32" s="22"/>
      <c r="W32" s="39"/>
      <c r="X32" s="52"/>
    </row>
    <row r="33" spans="1:24" ht="14.25" customHeight="1">
      <c r="A33" s="97"/>
      <c r="B33" s="73"/>
      <c r="C33" s="20"/>
      <c r="D33" s="20"/>
      <c r="E33" s="20"/>
      <c r="F33" s="126"/>
      <c r="G33" s="110"/>
      <c r="H33" s="35"/>
      <c r="I33" s="18"/>
      <c r="J33" s="35"/>
      <c r="K33" s="110"/>
      <c r="L33" s="35"/>
      <c r="M33" s="18"/>
      <c r="N33" s="19"/>
      <c r="O33" s="18"/>
      <c r="P33" s="18"/>
      <c r="Q33" s="110"/>
      <c r="R33" s="29"/>
      <c r="S33" s="22"/>
      <c r="T33" s="52"/>
      <c r="U33" s="22"/>
      <c r="V33" s="22"/>
      <c r="W33" s="39"/>
      <c r="X33" s="52"/>
    </row>
    <row r="34" spans="1:24" ht="14.25" customHeight="1">
      <c r="A34" s="97"/>
      <c r="B34" s="73"/>
      <c r="C34" s="98"/>
      <c r="D34" s="95"/>
      <c r="E34" s="99"/>
      <c r="F34" s="127"/>
      <c r="G34" s="102"/>
      <c r="H34" s="35"/>
      <c r="I34" s="101"/>
      <c r="J34" s="35"/>
      <c r="K34" s="101"/>
      <c r="L34" s="35"/>
      <c r="M34" s="101"/>
      <c r="N34" s="19"/>
      <c r="O34" s="122"/>
      <c r="P34" s="19"/>
      <c r="Q34" s="104"/>
      <c r="R34" s="29"/>
      <c r="S34" s="56"/>
      <c r="T34" s="52"/>
      <c r="U34" s="22"/>
      <c r="V34" s="55"/>
      <c r="W34" s="57"/>
      <c r="X34" s="52"/>
    </row>
    <row r="35" spans="1:24" ht="12.75" customHeight="1">
      <c r="A35" s="97"/>
      <c r="B35" s="73"/>
      <c r="C35" s="20"/>
      <c r="D35" s="20"/>
      <c r="E35" s="105"/>
      <c r="F35" s="126"/>
      <c r="G35" s="106"/>
      <c r="H35" s="35"/>
      <c r="I35" s="18"/>
      <c r="J35" s="35"/>
      <c r="K35" s="106"/>
      <c r="L35" s="35"/>
      <c r="M35" s="18"/>
      <c r="N35" s="19"/>
      <c r="O35" s="18"/>
      <c r="P35" s="18"/>
      <c r="Q35" s="18"/>
      <c r="R35" s="29"/>
      <c r="S35" s="22"/>
      <c r="T35" s="52"/>
      <c r="U35" s="22"/>
      <c r="V35" s="22"/>
      <c r="W35" s="22"/>
      <c r="X35" s="52"/>
    </row>
    <row r="36" spans="1:24" ht="14.25" customHeight="1">
      <c r="A36" s="97"/>
      <c r="B36" s="81"/>
      <c r="C36" s="95"/>
      <c r="D36" s="95"/>
      <c r="E36" s="108"/>
      <c r="F36" s="128"/>
      <c r="G36" s="39"/>
      <c r="H36" s="35"/>
      <c r="I36" s="17"/>
      <c r="J36" s="35"/>
      <c r="K36" s="17"/>
      <c r="L36" s="35"/>
      <c r="M36" s="17"/>
      <c r="N36" s="19"/>
      <c r="O36" s="18"/>
      <c r="P36" s="18"/>
      <c r="Q36" s="23"/>
      <c r="R36" s="29"/>
      <c r="S36" s="17"/>
      <c r="T36" s="52"/>
      <c r="U36" s="22"/>
      <c r="V36" s="22"/>
      <c r="W36" s="39"/>
      <c r="X36" s="52"/>
    </row>
    <row r="37" spans="1:24" ht="14.25" customHeight="1">
      <c r="A37" s="97"/>
      <c r="B37" s="81"/>
      <c r="C37" s="20"/>
      <c r="D37" s="20"/>
      <c r="E37" s="20"/>
      <c r="F37" s="126"/>
      <c r="G37" s="110"/>
      <c r="H37" s="35"/>
      <c r="I37" s="18"/>
      <c r="J37" s="35"/>
      <c r="K37" s="110"/>
      <c r="L37" s="35"/>
      <c r="M37" s="18"/>
      <c r="N37" s="19"/>
      <c r="O37" s="18"/>
      <c r="P37" s="18"/>
      <c r="Q37" s="110"/>
      <c r="R37" s="29"/>
      <c r="S37" s="22"/>
      <c r="T37" s="52"/>
      <c r="U37" s="22"/>
      <c r="V37" s="22"/>
      <c r="W37" s="39"/>
      <c r="X37" s="52"/>
    </row>
    <row r="38" spans="1:24" ht="14.25" customHeight="1">
      <c r="A38" s="97"/>
      <c r="B38" s="81"/>
      <c r="C38" s="98"/>
      <c r="D38" s="95"/>
      <c r="E38" s="99"/>
      <c r="F38" s="127"/>
      <c r="G38" s="102"/>
      <c r="H38" s="35"/>
      <c r="I38" s="101"/>
      <c r="J38" s="35"/>
      <c r="K38" s="101"/>
      <c r="L38" s="35"/>
      <c r="M38" s="101"/>
      <c r="N38" s="19"/>
      <c r="O38" s="122"/>
      <c r="P38" s="19"/>
      <c r="Q38" s="104"/>
      <c r="R38" s="29"/>
      <c r="S38" s="56"/>
      <c r="T38" s="52"/>
      <c r="U38" s="22"/>
      <c r="V38" s="55"/>
      <c r="W38" s="57"/>
      <c r="X38" s="52"/>
    </row>
    <row r="39" spans="1:24" ht="12.75" customHeight="1">
      <c r="A39" s="97"/>
      <c r="B39" s="81"/>
      <c r="C39" s="20"/>
      <c r="D39" s="20"/>
      <c r="E39" s="105"/>
      <c r="F39" s="126"/>
      <c r="G39" s="106"/>
      <c r="H39" s="35"/>
      <c r="I39" s="18"/>
      <c r="J39" s="35"/>
      <c r="K39" s="106"/>
      <c r="L39" s="35"/>
      <c r="M39" s="18"/>
      <c r="N39" s="19"/>
      <c r="O39" s="18"/>
      <c r="P39" s="18"/>
      <c r="Q39" s="18"/>
      <c r="R39" s="29"/>
      <c r="S39" s="22"/>
      <c r="T39" s="52"/>
      <c r="U39" s="22"/>
      <c r="V39" s="22"/>
      <c r="W39" s="22"/>
      <c r="X39" s="52"/>
    </row>
    <row r="40" spans="1:24" ht="14.25" customHeight="1">
      <c r="A40" s="97"/>
      <c r="B40" s="81"/>
      <c r="C40" s="95"/>
      <c r="D40" s="95"/>
      <c r="E40" s="108"/>
      <c r="F40" s="128"/>
      <c r="G40" s="39"/>
      <c r="H40" s="35"/>
      <c r="I40" s="17"/>
      <c r="J40" s="35"/>
      <c r="K40" s="17"/>
      <c r="L40" s="35"/>
      <c r="M40" s="17"/>
      <c r="N40" s="19"/>
      <c r="O40" s="18"/>
      <c r="P40" s="18"/>
      <c r="Q40" s="23"/>
      <c r="R40" s="29"/>
      <c r="S40" s="17"/>
      <c r="T40" s="52"/>
      <c r="U40" s="22"/>
      <c r="V40" s="22"/>
      <c r="W40" s="39"/>
      <c r="X40" s="52"/>
    </row>
    <row r="41" spans="1:24" ht="14.25" customHeight="1">
      <c r="A41" s="97"/>
      <c r="B41" s="73"/>
      <c r="C41" s="20"/>
      <c r="D41" s="20"/>
      <c r="E41" s="38"/>
      <c r="F41" s="126"/>
      <c r="G41" s="110"/>
      <c r="H41" s="35"/>
      <c r="I41" s="18"/>
      <c r="J41" s="35"/>
      <c r="K41" s="110"/>
      <c r="L41" s="35"/>
      <c r="M41" s="18"/>
      <c r="N41" s="19"/>
      <c r="O41" s="18"/>
      <c r="P41" s="18"/>
      <c r="Q41" s="110"/>
      <c r="R41" s="29"/>
      <c r="S41" s="22"/>
      <c r="T41" s="52"/>
      <c r="U41" s="22"/>
      <c r="V41" s="22"/>
      <c r="W41" s="39"/>
      <c r="X41" s="52"/>
    </row>
    <row r="42" spans="1:23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18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60" spans="1:19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12.75">
      <c r="A61" s="20"/>
      <c r="B61" s="20"/>
      <c r="C61" s="20"/>
      <c r="D61" s="20"/>
      <c r="E61" s="20"/>
      <c r="F61" s="20"/>
      <c r="G61" s="20"/>
      <c r="H61" s="19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15.75">
      <c r="A62" s="114"/>
      <c r="B62" s="11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ht="15.75">
      <c r="A63" s="114"/>
      <c r="B63" s="114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ht="15.75">
      <c r="A64" s="114"/>
      <c r="B64" s="11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ht="15.75">
      <c r="A66" s="6"/>
      <c r="B66" s="6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24" ht="12.75">
      <c r="A67" s="115"/>
      <c r="B67" s="115"/>
      <c r="C67" s="20"/>
      <c r="D67" s="20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16"/>
      <c r="U67" s="16"/>
      <c r="V67" s="16"/>
      <c r="W67" s="16"/>
      <c r="X67" s="16"/>
    </row>
    <row r="68" spans="1:24" ht="12.75">
      <c r="A68" s="20"/>
      <c r="B68" s="20"/>
      <c r="C68" s="20"/>
      <c r="D68" s="20"/>
      <c r="E68" s="38"/>
      <c r="F68" s="38"/>
      <c r="G68" s="116"/>
      <c r="H68" s="123"/>
      <c r="I68" s="116"/>
      <c r="J68" s="116"/>
      <c r="K68" s="116"/>
      <c r="L68" s="123"/>
      <c r="M68" s="116"/>
      <c r="N68" s="116"/>
      <c r="O68" s="116"/>
      <c r="P68" s="116"/>
      <c r="Q68" s="116"/>
      <c r="R68" s="116"/>
      <c r="S68" s="123"/>
      <c r="T68" s="42"/>
      <c r="U68" s="42"/>
      <c r="V68" s="42"/>
      <c r="W68" s="43"/>
      <c r="X68" s="16"/>
    </row>
    <row r="69" spans="1:24" ht="14.25" customHeight="1">
      <c r="A69" s="116"/>
      <c r="B69" s="117"/>
      <c r="C69" s="118"/>
      <c r="D69" s="95"/>
      <c r="E69" s="119"/>
      <c r="F69" s="38"/>
      <c r="G69" s="120"/>
      <c r="H69" s="124"/>
      <c r="I69" s="120"/>
      <c r="J69" s="121"/>
      <c r="K69" s="120"/>
      <c r="L69" s="124"/>
      <c r="M69" s="120"/>
      <c r="N69" s="121"/>
      <c r="O69" s="121"/>
      <c r="P69" s="121"/>
      <c r="Q69" s="120"/>
      <c r="R69" s="121"/>
      <c r="S69" s="125"/>
      <c r="T69" s="45"/>
      <c r="U69" s="45"/>
      <c r="V69" s="45"/>
      <c r="W69" s="44"/>
      <c r="X69" s="16"/>
    </row>
    <row r="70" spans="1:24" ht="12.75">
      <c r="A70" s="116"/>
      <c r="B70" s="117"/>
      <c r="C70" s="20"/>
      <c r="D70" s="20"/>
      <c r="E70" s="105"/>
      <c r="F70" s="126"/>
      <c r="G70" s="18"/>
      <c r="H70" s="55"/>
      <c r="I70" s="18"/>
      <c r="J70" s="19"/>
      <c r="K70" s="18"/>
      <c r="L70" s="55"/>
      <c r="M70" s="18"/>
      <c r="N70" s="19"/>
      <c r="O70" s="19"/>
      <c r="P70" s="19"/>
      <c r="Q70" s="18"/>
      <c r="R70" s="19"/>
      <c r="S70" s="22"/>
      <c r="T70" s="48"/>
      <c r="U70" s="48"/>
      <c r="V70" s="48"/>
      <c r="W70" s="47"/>
      <c r="X70" s="16"/>
    </row>
    <row r="71" spans="1:24" ht="14.25" customHeight="1">
      <c r="A71" s="20"/>
      <c r="B71" s="20"/>
      <c r="C71" s="95"/>
      <c r="D71" s="20"/>
      <c r="E71" s="96"/>
      <c r="F71" s="55"/>
      <c r="G71" s="18"/>
      <c r="H71" s="55"/>
      <c r="I71" s="18"/>
      <c r="J71" s="19"/>
      <c r="K71" s="18"/>
      <c r="L71" s="55"/>
      <c r="M71" s="18"/>
      <c r="N71" s="19"/>
      <c r="O71" s="19"/>
      <c r="P71" s="19"/>
      <c r="Q71" s="18"/>
      <c r="R71" s="19"/>
      <c r="S71" s="22"/>
      <c r="T71" s="48"/>
      <c r="U71" s="48"/>
      <c r="V71" s="48"/>
      <c r="W71" s="47"/>
      <c r="X71" s="16"/>
    </row>
    <row r="72" spans="1:24" ht="12.75">
      <c r="A72" s="20"/>
      <c r="B72" s="20"/>
      <c r="C72" s="20"/>
      <c r="D72" s="20"/>
      <c r="E72" s="20"/>
      <c r="F72" s="38"/>
      <c r="G72" s="18"/>
      <c r="H72" s="55"/>
      <c r="I72" s="18"/>
      <c r="J72" s="19"/>
      <c r="K72" s="18"/>
      <c r="L72" s="55"/>
      <c r="M72" s="18"/>
      <c r="N72" s="19"/>
      <c r="O72" s="19"/>
      <c r="P72" s="19"/>
      <c r="Q72" s="18"/>
      <c r="R72" s="19"/>
      <c r="S72" s="22"/>
      <c r="T72" s="55"/>
      <c r="U72" s="55"/>
      <c r="V72" s="55"/>
      <c r="W72" s="22"/>
      <c r="X72" s="16"/>
    </row>
    <row r="73" spans="1:24" ht="14.25" customHeight="1">
      <c r="A73" s="97"/>
      <c r="B73" s="73"/>
      <c r="C73" s="98"/>
      <c r="D73" s="95"/>
      <c r="E73" s="99"/>
      <c r="F73" s="127"/>
      <c r="G73" s="102"/>
      <c r="H73" s="35"/>
      <c r="I73" s="101"/>
      <c r="J73" s="35"/>
      <c r="K73" s="101"/>
      <c r="L73" s="35"/>
      <c r="M73" s="101"/>
      <c r="N73" s="19"/>
      <c r="O73" s="122"/>
      <c r="P73" s="19"/>
      <c r="Q73" s="104"/>
      <c r="R73" s="29"/>
      <c r="S73" s="56"/>
      <c r="T73" s="52"/>
      <c r="U73" s="22"/>
      <c r="V73" s="55"/>
      <c r="W73" s="57"/>
      <c r="X73" s="52"/>
    </row>
    <row r="74" spans="1:24" ht="12.75" customHeight="1">
      <c r="A74" s="97"/>
      <c r="B74" s="73"/>
      <c r="C74" s="20"/>
      <c r="D74" s="20"/>
      <c r="E74" s="105"/>
      <c r="F74" s="126"/>
      <c r="G74" s="106"/>
      <c r="H74" s="35"/>
      <c r="I74" s="18"/>
      <c r="J74" s="35"/>
      <c r="K74" s="18"/>
      <c r="L74" s="35"/>
      <c r="M74" s="106"/>
      <c r="N74" s="19"/>
      <c r="O74" s="18"/>
      <c r="P74" s="18"/>
      <c r="Q74" s="18"/>
      <c r="R74" s="29"/>
      <c r="S74" s="22"/>
      <c r="T74" s="52"/>
      <c r="U74" s="22"/>
      <c r="V74" s="22"/>
      <c r="W74" s="22"/>
      <c r="X74" s="52"/>
    </row>
    <row r="75" spans="1:24" ht="14.25" customHeight="1">
      <c r="A75" s="97"/>
      <c r="B75" s="107"/>
      <c r="C75" s="95"/>
      <c r="D75" s="95"/>
      <c r="E75" s="108"/>
      <c r="F75" s="128"/>
      <c r="G75" s="39"/>
      <c r="H75" s="35"/>
      <c r="I75" s="17"/>
      <c r="J75" s="35"/>
      <c r="K75" s="17"/>
      <c r="L75" s="35"/>
      <c r="M75" s="17"/>
      <c r="N75" s="19"/>
      <c r="O75" s="18"/>
      <c r="P75" s="18"/>
      <c r="Q75" s="23"/>
      <c r="R75" s="29"/>
      <c r="S75" s="17"/>
      <c r="T75" s="52"/>
      <c r="U75" s="22"/>
      <c r="V75" s="22"/>
      <c r="W75" s="39"/>
      <c r="X75" s="52"/>
    </row>
    <row r="76" spans="1:24" ht="14.25" customHeight="1">
      <c r="A76" s="97"/>
      <c r="B76" s="73"/>
      <c r="C76" s="20"/>
      <c r="D76" s="20"/>
      <c r="E76" s="20"/>
      <c r="F76" s="126"/>
      <c r="G76" s="110"/>
      <c r="H76" s="35"/>
      <c r="I76" s="18"/>
      <c r="J76" s="35"/>
      <c r="K76" s="18"/>
      <c r="L76" s="35"/>
      <c r="M76" s="110"/>
      <c r="N76" s="19"/>
      <c r="O76" s="18"/>
      <c r="P76" s="18"/>
      <c r="Q76" s="110"/>
      <c r="R76" s="29"/>
      <c r="S76" s="22"/>
      <c r="T76" s="52"/>
      <c r="U76" s="22"/>
      <c r="V76" s="22"/>
      <c r="W76" s="39"/>
      <c r="X76" s="52"/>
    </row>
    <row r="77" spans="1:24" ht="14.25" customHeight="1">
      <c r="A77" s="97"/>
      <c r="B77" s="73"/>
      <c r="C77" s="98"/>
      <c r="D77" s="95"/>
      <c r="E77" s="99"/>
      <c r="F77" s="127"/>
      <c r="G77" s="102"/>
      <c r="H77" s="35"/>
      <c r="I77" s="101"/>
      <c r="J77" s="35"/>
      <c r="K77" s="101"/>
      <c r="L77" s="35"/>
      <c r="M77" s="101"/>
      <c r="N77" s="19"/>
      <c r="O77" s="122"/>
      <c r="P77" s="19"/>
      <c r="Q77" s="104"/>
      <c r="R77" s="29"/>
      <c r="S77" s="56"/>
      <c r="T77" s="52"/>
      <c r="U77" s="22"/>
      <c r="V77" s="55"/>
      <c r="W77" s="57"/>
      <c r="X77" s="52"/>
    </row>
    <row r="78" spans="1:24" ht="12.75" customHeight="1">
      <c r="A78" s="97"/>
      <c r="B78" s="73"/>
      <c r="C78" s="20"/>
      <c r="D78" s="20"/>
      <c r="E78" s="105"/>
      <c r="F78" s="126"/>
      <c r="G78" s="106"/>
      <c r="H78" s="35"/>
      <c r="I78" s="18"/>
      <c r="J78" s="35"/>
      <c r="K78" s="18"/>
      <c r="L78" s="35"/>
      <c r="M78" s="106"/>
      <c r="N78" s="19"/>
      <c r="O78" s="18"/>
      <c r="P78" s="18"/>
      <c r="Q78" s="18"/>
      <c r="R78" s="29"/>
      <c r="S78" s="22"/>
      <c r="T78" s="52"/>
      <c r="U78" s="22"/>
      <c r="V78" s="22"/>
      <c r="W78" s="22"/>
      <c r="X78" s="52"/>
    </row>
    <row r="79" spans="1:24" ht="14.25" customHeight="1">
      <c r="A79" s="97"/>
      <c r="B79" s="111"/>
      <c r="C79" s="95"/>
      <c r="D79" s="95"/>
      <c r="E79" s="108"/>
      <c r="F79" s="128"/>
      <c r="G79" s="39"/>
      <c r="H79" s="35"/>
      <c r="I79" s="17"/>
      <c r="J79" s="35"/>
      <c r="K79" s="17"/>
      <c r="L79" s="35"/>
      <c r="M79" s="17"/>
      <c r="N79" s="19"/>
      <c r="O79" s="18"/>
      <c r="P79" s="18"/>
      <c r="Q79" s="23"/>
      <c r="R79" s="29"/>
      <c r="S79" s="17"/>
      <c r="T79" s="52"/>
      <c r="U79" s="22"/>
      <c r="V79" s="22"/>
      <c r="W79" s="39"/>
      <c r="X79" s="52"/>
    </row>
    <row r="80" spans="1:24" ht="14.25" customHeight="1">
      <c r="A80" s="97"/>
      <c r="B80" s="73"/>
      <c r="C80" s="20"/>
      <c r="D80" s="20"/>
      <c r="E80" s="20"/>
      <c r="F80" s="126"/>
      <c r="G80" s="110"/>
      <c r="H80" s="35"/>
      <c r="I80" s="18"/>
      <c r="J80" s="35"/>
      <c r="K80" s="18"/>
      <c r="L80" s="35"/>
      <c r="M80" s="110"/>
      <c r="N80" s="19"/>
      <c r="O80" s="18"/>
      <c r="P80" s="18"/>
      <c r="Q80" s="110"/>
      <c r="R80" s="29"/>
      <c r="S80" s="22"/>
      <c r="T80" s="52"/>
      <c r="U80" s="22"/>
      <c r="V80" s="22"/>
      <c r="W80" s="39"/>
      <c r="X80" s="52"/>
    </row>
    <row r="81" spans="1:24" ht="14.25" customHeight="1">
      <c r="A81" s="97"/>
      <c r="B81" s="73"/>
      <c r="C81" s="98"/>
      <c r="D81" s="95"/>
      <c r="E81" s="99"/>
      <c r="F81" s="127"/>
      <c r="G81" s="102"/>
      <c r="H81" s="35"/>
      <c r="I81" s="101"/>
      <c r="J81" s="35"/>
      <c r="K81" s="101"/>
      <c r="L81" s="35"/>
      <c r="M81" s="101"/>
      <c r="N81" s="19"/>
      <c r="O81" s="122"/>
      <c r="P81" s="19"/>
      <c r="Q81" s="104"/>
      <c r="R81" s="29"/>
      <c r="S81" s="56"/>
      <c r="T81" s="52"/>
      <c r="U81" s="22"/>
      <c r="V81" s="55"/>
      <c r="W81" s="57"/>
      <c r="X81" s="52"/>
    </row>
    <row r="82" spans="1:24" ht="12.75" customHeight="1">
      <c r="A82" s="97"/>
      <c r="B82" s="73"/>
      <c r="C82" s="20"/>
      <c r="D82" s="20"/>
      <c r="E82" s="105"/>
      <c r="F82" s="126"/>
      <c r="G82" s="106"/>
      <c r="H82" s="35"/>
      <c r="I82" s="18"/>
      <c r="J82" s="35"/>
      <c r="K82" s="18"/>
      <c r="L82" s="35"/>
      <c r="M82" s="106"/>
      <c r="N82" s="19"/>
      <c r="O82" s="18"/>
      <c r="P82" s="18"/>
      <c r="Q82" s="18"/>
      <c r="R82" s="29"/>
      <c r="S82" s="22"/>
      <c r="T82" s="52"/>
      <c r="U82" s="22"/>
      <c r="V82" s="22"/>
      <c r="W82" s="22"/>
      <c r="X82" s="52"/>
    </row>
    <row r="83" spans="1:24" ht="14.25" customHeight="1">
      <c r="A83" s="97"/>
      <c r="B83" s="112"/>
      <c r="C83" s="95"/>
      <c r="D83" s="95"/>
      <c r="E83" s="108"/>
      <c r="F83" s="128"/>
      <c r="G83" s="39"/>
      <c r="H83" s="35"/>
      <c r="I83" s="17"/>
      <c r="J83" s="35"/>
      <c r="K83" s="17"/>
      <c r="L83" s="35"/>
      <c r="M83" s="17"/>
      <c r="N83" s="19"/>
      <c r="O83" s="18"/>
      <c r="P83" s="18"/>
      <c r="Q83" s="23"/>
      <c r="R83" s="29"/>
      <c r="S83" s="17"/>
      <c r="T83" s="52"/>
      <c r="U83" s="22"/>
      <c r="V83" s="22"/>
      <c r="W83" s="39"/>
      <c r="X83" s="52"/>
    </row>
    <row r="84" spans="1:24" ht="14.25" customHeight="1">
      <c r="A84" s="97"/>
      <c r="B84" s="73"/>
      <c r="C84" s="20"/>
      <c r="D84" s="20"/>
      <c r="E84" s="20"/>
      <c r="F84" s="126"/>
      <c r="G84" s="110"/>
      <c r="H84" s="35"/>
      <c r="I84" s="18"/>
      <c r="J84" s="35"/>
      <c r="K84" s="18"/>
      <c r="L84" s="35"/>
      <c r="M84" s="110"/>
      <c r="N84" s="19"/>
      <c r="O84" s="18"/>
      <c r="P84" s="18"/>
      <c r="Q84" s="110"/>
      <c r="R84" s="29"/>
      <c r="S84" s="22"/>
      <c r="T84" s="52"/>
      <c r="U84" s="22"/>
      <c r="V84" s="22"/>
      <c r="W84" s="39"/>
      <c r="X84" s="52"/>
    </row>
    <row r="85" spans="1:24" ht="14.25" customHeight="1">
      <c r="A85" s="97"/>
      <c r="B85" s="73"/>
      <c r="C85" s="98"/>
      <c r="D85" s="95"/>
      <c r="E85" s="99"/>
      <c r="F85" s="127"/>
      <c r="G85" s="102"/>
      <c r="H85" s="35"/>
      <c r="I85" s="101"/>
      <c r="J85" s="35"/>
      <c r="K85" s="101"/>
      <c r="L85" s="35"/>
      <c r="M85" s="101"/>
      <c r="N85" s="19"/>
      <c r="O85" s="122"/>
      <c r="P85" s="19"/>
      <c r="Q85" s="104"/>
      <c r="R85" s="29"/>
      <c r="S85" s="56"/>
      <c r="T85" s="52"/>
      <c r="U85" s="22"/>
      <c r="V85" s="55"/>
      <c r="W85" s="57"/>
      <c r="X85" s="52"/>
    </row>
    <row r="86" spans="1:24" ht="12.75" customHeight="1">
      <c r="A86" s="97"/>
      <c r="B86" s="73"/>
      <c r="C86" s="20"/>
      <c r="D86" s="20"/>
      <c r="E86" s="105"/>
      <c r="F86" s="126"/>
      <c r="G86" s="106"/>
      <c r="H86" s="35"/>
      <c r="I86" s="18"/>
      <c r="J86" s="35"/>
      <c r="K86" s="18"/>
      <c r="L86" s="35"/>
      <c r="M86" s="106"/>
      <c r="N86" s="19"/>
      <c r="O86" s="18"/>
      <c r="P86" s="18"/>
      <c r="Q86" s="18"/>
      <c r="R86" s="29"/>
      <c r="S86" s="22"/>
      <c r="T86" s="52"/>
      <c r="U86" s="22"/>
      <c r="V86" s="22"/>
      <c r="W86" s="22"/>
      <c r="X86" s="52"/>
    </row>
    <row r="87" spans="1:24" ht="14.25" customHeight="1">
      <c r="A87" s="97"/>
      <c r="B87" s="81"/>
      <c r="C87" s="95"/>
      <c r="D87" s="95"/>
      <c r="E87" s="108"/>
      <c r="F87" s="128"/>
      <c r="G87" s="39"/>
      <c r="H87" s="35"/>
      <c r="I87" s="17"/>
      <c r="J87" s="35"/>
      <c r="K87" s="17"/>
      <c r="L87" s="35"/>
      <c r="M87" s="17"/>
      <c r="N87" s="19"/>
      <c r="O87" s="18"/>
      <c r="P87" s="18"/>
      <c r="Q87" s="23"/>
      <c r="R87" s="29"/>
      <c r="S87" s="17"/>
      <c r="T87" s="52"/>
      <c r="U87" s="22"/>
      <c r="V87" s="22"/>
      <c r="W87" s="39"/>
      <c r="X87" s="52"/>
    </row>
    <row r="88" spans="1:24" ht="14.25" customHeight="1">
      <c r="A88" s="97"/>
      <c r="B88" s="73"/>
      <c r="C88" s="20"/>
      <c r="D88" s="20"/>
      <c r="E88" s="20"/>
      <c r="F88" s="126"/>
      <c r="G88" s="110"/>
      <c r="H88" s="35"/>
      <c r="I88" s="18"/>
      <c r="J88" s="35"/>
      <c r="K88" s="18"/>
      <c r="L88" s="35"/>
      <c r="M88" s="110"/>
      <c r="N88" s="19"/>
      <c r="O88" s="18"/>
      <c r="P88" s="18"/>
      <c r="Q88" s="110"/>
      <c r="R88" s="29"/>
      <c r="S88" s="22"/>
      <c r="T88" s="52"/>
      <c r="U88" s="22"/>
      <c r="V88" s="22"/>
      <c r="W88" s="39"/>
      <c r="X88" s="52"/>
    </row>
    <row r="89" spans="1:24" ht="14.25" customHeight="1">
      <c r="A89" s="97"/>
      <c r="B89" s="73"/>
      <c r="C89" s="98"/>
      <c r="D89" s="95"/>
      <c r="E89" s="99"/>
      <c r="F89" s="127"/>
      <c r="G89" s="102"/>
      <c r="H89" s="35"/>
      <c r="I89" s="101"/>
      <c r="J89" s="35"/>
      <c r="K89" s="101"/>
      <c r="L89" s="35"/>
      <c r="M89" s="101"/>
      <c r="N89" s="19"/>
      <c r="O89" s="122"/>
      <c r="P89" s="19"/>
      <c r="Q89" s="104"/>
      <c r="R89" s="29"/>
      <c r="S89" s="56"/>
      <c r="T89" s="52"/>
      <c r="U89" s="22"/>
      <c r="V89" s="55"/>
      <c r="W89" s="57"/>
      <c r="X89" s="52"/>
    </row>
    <row r="90" spans="1:24" ht="12.75" customHeight="1">
      <c r="A90" s="97"/>
      <c r="B90" s="73"/>
      <c r="C90" s="20"/>
      <c r="D90" s="20"/>
      <c r="E90" s="105"/>
      <c r="F90" s="126"/>
      <c r="G90" s="106"/>
      <c r="H90" s="35"/>
      <c r="I90" s="18"/>
      <c r="J90" s="35"/>
      <c r="K90" s="18"/>
      <c r="L90" s="35"/>
      <c r="M90" s="106"/>
      <c r="N90" s="19"/>
      <c r="O90" s="18"/>
      <c r="P90" s="18"/>
      <c r="Q90" s="18"/>
      <c r="R90" s="29"/>
      <c r="S90" s="22"/>
      <c r="T90" s="52"/>
      <c r="U90" s="22"/>
      <c r="V90" s="22"/>
      <c r="W90" s="22"/>
      <c r="X90" s="52"/>
    </row>
    <row r="91" spans="1:24" ht="14.25" customHeight="1">
      <c r="A91" s="97"/>
      <c r="B91" s="81"/>
      <c r="C91" s="95"/>
      <c r="D91" s="95"/>
      <c r="E91" s="108"/>
      <c r="F91" s="128"/>
      <c r="G91" s="39"/>
      <c r="H91" s="35"/>
      <c r="I91" s="17"/>
      <c r="J91" s="35"/>
      <c r="K91" s="17"/>
      <c r="L91" s="35"/>
      <c r="M91" s="17"/>
      <c r="N91" s="19"/>
      <c r="O91" s="18"/>
      <c r="P91" s="18"/>
      <c r="Q91" s="23"/>
      <c r="R91" s="29"/>
      <c r="S91" s="17"/>
      <c r="T91" s="52"/>
      <c r="U91" s="22"/>
      <c r="V91" s="22"/>
      <c r="W91" s="39"/>
      <c r="X91" s="52"/>
    </row>
    <row r="92" spans="1:24" ht="14.25" customHeight="1">
      <c r="A92" s="97"/>
      <c r="B92" s="73"/>
      <c r="C92" s="20"/>
      <c r="D92" s="20"/>
      <c r="E92" s="20"/>
      <c r="F92" s="126"/>
      <c r="G92" s="110"/>
      <c r="H92" s="35"/>
      <c r="I92" s="18"/>
      <c r="J92" s="35"/>
      <c r="K92" s="18"/>
      <c r="L92" s="35"/>
      <c r="M92" s="110"/>
      <c r="N92" s="19"/>
      <c r="O92" s="18"/>
      <c r="P92" s="18"/>
      <c r="Q92" s="110"/>
      <c r="R92" s="29"/>
      <c r="S92" s="22"/>
      <c r="T92" s="52"/>
      <c r="U92" s="22"/>
      <c r="V92" s="22"/>
      <c r="W92" s="39"/>
      <c r="X92" s="52"/>
    </row>
    <row r="93" spans="1:24" ht="14.25" customHeight="1">
      <c r="A93" s="97"/>
      <c r="B93" s="73"/>
      <c r="C93" s="98"/>
      <c r="D93" s="95"/>
      <c r="E93" s="99"/>
      <c r="F93" s="127"/>
      <c r="G93" s="102"/>
      <c r="H93" s="35"/>
      <c r="I93" s="101"/>
      <c r="J93" s="35"/>
      <c r="K93" s="101"/>
      <c r="L93" s="35"/>
      <c r="M93" s="101"/>
      <c r="N93" s="19"/>
      <c r="O93" s="122"/>
      <c r="P93" s="19"/>
      <c r="Q93" s="104"/>
      <c r="R93" s="29"/>
      <c r="S93" s="56"/>
      <c r="T93" s="52"/>
      <c r="U93" s="22"/>
      <c r="V93" s="55"/>
      <c r="W93" s="57"/>
      <c r="X93" s="52"/>
    </row>
    <row r="94" spans="1:24" ht="12.75" customHeight="1">
      <c r="A94" s="97"/>
      <c r="B94" s="73"/>
      <c r="C94" s="20"/>
      <c r="D94" s="20"/>
      <c r="E94" s="105"/>
      <c r="F94" s="126"/>
      <c r="G94" s="106"/>
      <c r="H94" s="35"/>
      <c r="I94" s="18"/>
      <c r="J94" s="35"/>
      <c r="K94" s="18"/>
      <c r="L94" s="35"/>
      <c r="M94" s="106"/>
      <c r="N94" s="19"/>
      <c r="O94" s="18"/>
      <c r="P94" s="18"/>
      <c r="Q94" s="18"/>
      <c r="R94" s="29"/>
      <c r="S94" s="22"/>
      <c r="T94" s="52"/>
      <c r="U94" s="22"/>
      <c r="V94" s="22"/>
      <c r="W94" s="22"/>
      <c r="X94" s="52"/>
    </row>
    <row r="95" spans="1:24" ht="14.25" customHeight="1">
      <c r="A95" s="97"/>
      <c r="B95" s="81"/>
      <c r="C95" s="95"/>
      <c r="D95" s="95"/>
      <c r="E95" s="108"/>
      <c r="F95" s="128"/>
      <c r="G95" s="39"/>
      <c r="H95" s="35"/>
      <c r="I95" s="17"/>
      <c r="J95" s="35"/>
      <c r="K95" s="17"/>
      <c r="L95" s="35"/>
      <c r="M95" s="17"/>
      <c r="N95" s="19"/>
      <c r="O95" s="18"/>
      <c r="P95" s="18"/>
      <c r="Q95" s="23"/>
      <c r="R95" s="29"/>
      <c r="S95" s="17"/>
      <c r="T95" s="52"/>
      <c r="U95" s="22"/>
      <c r="V95" s="22"/>
      <c r="W95" s="39"/>
      <c r="X95" s="52"/>
    </row>
    <row r="96" spans="1:24" ht="14.25" customHeight="1">
      <c r="A96" s="97"/>
      <c r="B96" s="81"/>
      <c r="C96" s="20"/>
      <c r="D96" s="20"/>
      <c r="E96" s="20"/>
      <c r="F96" s="126"/>
      <c r="G96" s="110"/>
      <c r="H96" s="35"/>
      <c r="I96" s="18"/>
      <c r="J96" s="35"/>
      <c r="K96" s="18"/>
      <c r="L96" s="35"/>
      <c r="M96" s="110"/>
      <c r="N96" s="19"/>
      <c r="O96" s="18"/>
      <c r="P96" s="18"/>
      <c r="Q96" s="110"/>
      <c r="R96" s="29"/>
      <c r="S96" s="22"/>
      <c r="T96" s="52"/>
      <c r="U96" s="22"/>
      <c r="V96" s="22"/>
      <c r="W96" s="39"/>
      <c r="X96" s="52"/>
    </row>
    <row r="97" spans="1:24" ht="14.25" customHeight="1">
      <c r="A97" s="97"/>
      <c r="B97" s="81"/>
      <c r="C97" s="98"/>
      <c r="D97" s="95"/>
      <c r="E97" s="99"/>
      <c r="F97" s="127"/>
      <c r="G97" s="102"/>
      <c r="H97" s="35"/>
      <c r="I97" s="101"/>
      <c r="J97" s="35"/>
      <c r="K97" s="101"/>
      <c r="L97" s="35"/>
      <c r="M97" s="101"/>
      <c r="N97" s="19"/>
      <c r="O97" s="122"/>
      <c r="P97" s="19"/>
      <c r="Q97" s="104"/>
      <c r="R97" s="29"/>
      <c r="S97" s="56"/>
      <c r="T97" s="52"/>
      <c r="U97" s="22"/>
      <c r="V97" s="55"/>
      <c r="W97" s="57"/>
      <c r="X97" s="52"/>
    </row>
    <row r="98" spans="1:24" ht="12.75" customHeight="1">
      <c r="A98" s="97"/>
      <c r="B98" s="81"/>
      <c r="C98" s="20"/>
      <c r="D98" s="20"/>
      <c r="E98" s="105"/>
      <c r="F98" s="126"/>
      <c r="G98" s="106"/>
      <c r="H98" s="35"/>
      <c r="I98" s="18"/>
      <c r="J98" s="35"/>
      <c r="K98" s="18"/>
      <c r="L98" s="35"/>
      <c r="M98" s="106"/>
      <c r="N98" s="19"/>
      <c r="O98" s="18"/>
      <c r="P98" s="18"/>
      <c r="Q98" s="18"/>
      <c r="R98" s="29"/>
      <c r="S98" s="22"/>
      <c r="T98" s="52"/>
      <c r="U98" s="22"/>
      <c r="V98" s="22"/>
      <c r="W98" s="22"/>
      <c r="X98" s="52"/>
    </row>
    <row r="99" spans="1:24" ht="14.25" customHeight="1">
      <c r="A99" s="97"/>
      <c r="B99" s="81"/>
      <c r="C99" s="95"/>
      <c r="D99" s="95"/>
      <c r="E99" s="108"/>
      <c r="F99" s="128"/>
      <c r="G99" s="39"/>
      <c r="H99" s="35"/>
      <c r="I99" s="17"/>
      <c r="J99" s="35"/>
      <c r="K99" s="17"/>
      <c r="L99" s="35"/>
      <c r="M99" s="17"/>
      <c r="N99" s="19"/>
      <c r="O99" s="18"/>
      <c r="P99" s="18"/>
      <c r="Q99" s="23"/>
      <c r="R99" s="29"/>
      <c r="S99" s="17"/>
      <c r="T99" s="52"/>
      <c r="U99" s="22"/>
      <c r="V99" s="22"/>
      <c r="W99" s="39"/>
      <c r="X99" s="52"/>
    </row>
    <row r="100" spans="1:24" ht="14.25" customHeight="1">
      <c r="A100" s="97"/>
      <c r="B100" s="73"/>
      <c r="C100" s="20"/>
      <c r="D100" s="20"/>
      <c r="E100" s="38"/>
      <c r="F100" s="126"/>
      <c r="G100" s="110"/>
      <c r="H100" s="35"/>
      <c r="I100" s="18"/>
      <c r="J100" s="35"/>
      <c r="K100" s="18"/>
      <c r="L100" s="35"/>
      <c r="M100" s="110"/>
      <c r="N100" s="19"/>
      <c r="O100" s="18"/>
      <c r="P100" s="18"/>
      <c r="Q100" s="110"/>
      <c r="R100" s="29"/>
      <c r="S100" s="22"/>
      <c r="T100" s="52"/>
      <c r="U100" s="22"/>
      <c r="V100" s="22"/>
      <c r="W100" s="39"/>
      <c r="X100" s="52"/>
    </row>
    <row r="101" spans="1:23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:23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</sheetData>
  <sheetProtection/>
  <printOptions/>
  <pageMargins left="0.2755905511811024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98"/>
  <sheetViews>
    <sheetView zoomScale="140" zoomScaleNormal="140" zoomScalePageLayoutView="0" workbookViewId="0" topLeftCell="A4">
      <selection activeCell="W17" sqref="W17"/>
    </sheetView>
  </sheetViews>
  <sheetFormatPr defaultColWidth="9.140625" defaultRowHeight="12.75"/>
  <cols>
    <col min="1" max="2" width="7.7109375" style="0" customWidth="1"/>
    <col min="3" max="3" width="4.7109375" style="0" customWidth="1"/>
    <col min="4" max="4" width="20.7109375" style="0" customWidth="1"/>
    <col min="5" max="5" width="12.28125" style="0" customWidth="1"/>
    <col min="6" max="6" width="0.85546875" style="0" customWidth="1"/>
    <col min="7" max="7" width="7.7109375" style="0" customWidth="1"/>
    <col min="8" max="8" width="0.85546875" style="0" customWidth="1"/>
    <col min="9" max="9" width="7.7109375" style="0" customWidth="1"/>
    <col min="10" max="10" width="0.85546875" style="0" customWidth="1"/>
    <col min="11" max="11" width="7.7109375" style="0" customWidth="1"/>
    <col min="12" max="12" width="0.85546875" style="0" customWidth="1"/>
    <col min="13" max="13" width="7.7109375" style="0" customWidth="1"/>
    <col min="14" max="14" width="0.85546875" style="0" customWidth="1"/>
    <col min="15" max="15" width="2.57421875" style="0" customWidth="1"/>
    <col min="16" max="16" width="0.85546875" style="0" customWidth="1"/>
    <col min="17" max="17" width="5.421875" style="0" customWidth="1"/>
    <col min="18" max="18" width="0.85546875" style="0" customWidth="1"/>
    <col min="19" max="19" width="7.7109375" style="0" customWidth="1"/>
    <col min="20" max="20" width="0.85546875" style="0" customWidth="1"/>
    <col min="21" max="21" width="2.57421875" style="0" customWidth="1"/>
    <col min="22" max="22" width="0.85546875" style="0" customWidth="1"/>
    <col min="23" max="23" width="5.421875" style="0" customWidth="1"/>
    <col min="24" max="24" width="0.85546875" style="0" customWidth="1"/>
    <col min="26" max="26" width="0.85546875" style="0" customWidth="1"/>
  </cols>
  <sheetData>
    <row r="1" ht="12.75">
      <c r="H1" s="7"/>
    </row>
    <row r="2" spans="1:2" ht="15.75">
      <c r="A2" s="1" t="s">
        <v>30</v>
      </c>
      <c r="B2" s="1"/>
    </row>
    <row r="3" spans="1:2" ht="15.75">
      <c r="A3" s="1" t="s">
        <v>31</v>
      </c>
      <c r="B3" s="1"/>
    </row>
    <row r="4" spans="1:2" ht="15.75">
      <c r="A4" s="1" t="s">
        <v>120</v>
      </c>
      <c r="B4" s="1"/>
    </row>
    <row r="5" spans="1:2" ht="14.25" customHeight="1">
      <c r="A5" s="1"/>
      <c r="B5" s="1"/>
    </row>
    <row r="6" spans="5:9" ht="13.5" customHeight="1">
      <c r="E6" s="148" t="s">
        <v>72</v>
      </c>
      <c r="G6" s="147">
        <v>2521</v>
      </c>
      <c r="I6" s="59" t="s">
        <v>300</v>
      </c>
    </row>
    <row r="7" spans="1:9" ht="15.75">
      <c r="A7" s="6" t="s">
        <v>35</v>
      </c>
      <c r="B7" s="6"/>
      <c r="E7" s="151" t="s">
        <v>0</v>
      </c>
      <c r="G7" s="151">
        <v>2521</v>
      </c>
      <c r="H7" s="41"/>
      <c r="I7" s="41" t="s">
        <v>300</v>
      </c>
    </row>
    <row r="8" spans="1:24" ht="12.75">
      <c r="A8" s="41" t="s">
        <v>29</v>
      </c>
      <c r="B8" s="41"/>
      <c r="C8" s="146" t="s">
        <v>71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5:24" ht="12.75">
      <c r="E9" s="16"/>
      <c r="F9" s="16"/>
      <c r="G9" s="13" t="s">
        <v>3</v>
      </c>
      <c r="H9" s="42"/>
      <c r="I9" s="13" t="s">
        <v>17</v>
      </c>
      <c r="J9" s="13"/>
      <c r="K9" s="13" t="s">
        <v>50</v>
      </c>
      <c r="L9" s="42"/>
      <c r="M9" s="13" t="s">
        <v>4</v>
      </c>
      <c r="N9" s="13"/>
      <c r="O9" s="13"/>
      <c r="P9" s="13"/>
      <c r="Q9" s="13" t="s">
        <v>15</v>
      </c>
      <c r="R9" s="13"/>
      <c r="S9" s="42"/>
      <c r="T9" s="42"/>
      <c r="U9" s="42"/>
      <c r="V9" s="42"/>
      <c r="W9" s="43"/>
      <c r="X9" s="16"/>
    </row>
    <row r="10" spans="1:24" ht="14.25" customHeight="1">
      <c r="A10" s="13" t="s">
        <v>1</v>
      </c>
      <c r="B10" s="58" t="s">
        <v>37</v>
      </c>
      <c r="C10" s="62" t="s">
        <v>21</v>
      </c>
      <c r="D10" s="11" t="s">
        <v>9</v>
      </c>
      <c r="E10" s="60" t="s">
        <v>20</v>
      </c>
      <c r="F10" s="16"/>
      <c r="G10" s="21" t="s">
        <v>23</v>
      </c>
      <c r="H10" s="45"/>
      <c r="I10" s="21" t="s">
        <v>23</v>
      </c>
      <c r="J10" s="12"/>
      <c r="K10" s="21" t="s">
        <v>22</v>
      </c>
      <c r="L10" s="45"/>
      <c r="M10" s="21" t="s">
        <v>23</v>
      </c>
      <c r="N10" s="12"/>
      <c r="O10" s="12"/>
      <c r="P10" s="12"/>
      <c r="Q10" s="21" t="s">
        <v>22</v>
      </c>
      <c r="R10" s="12"/>
      <c r="S10" s="44"/>
      <c r="T10" s="45"/>
      <c r="U10" s="45"/>
      <c r="V10" s="45"/>
      <c r="W10" s="44"/>
      <c r="X10" s="16"/>
    </row>
    <row r="11" spans="1:24" ht="12.75">
      <c r="A11" s="13" t="s">
        <v>2</v>
      </c>
      <c r="B11" s="58" t="s">
        <v>2</v>
      </c>
      <c r="E11" s="10"/>
      <c r="F11" s="46"/>
      <c r="G11" s="14"/>
      <c r="H11" s="48"/>
      <c r="I11" s="14" t="s">
        <v>11</v>
      </c>
      <c r="J11" s="7"/>
      <c r="K11" s="14" t="s">
        <v>11</v>
      </c>
      <c r="L11" s="48"/>
      <c r="M11" s="14"/>
      <c r="N11" s="7"/>
      <c r="O11" s="7"/>
      <c r="P11" s="7"/>
      <c r="Q11" s="14"/>
      <c r="R11" s="7"/>
      <c r="S11" s="47"/>
      <c r="T11" s="48"/>
      <c r="U11" s="48"/>
      <c r="V11" s="48"/>
      <c r="W11" s="47"/>
      <c r="X11" s="16"/>
    </row>
    <row r="12" spans="3:24" ht="14.25" customHeight="1">
      <c r="C12" s="11" t="s">
        <v>10</v>
      </c>
      <c r="E12" s="61" t="s">
        <v>19</v>
      </c>
      <c r="F12" s="48"/>
      <c r="G12" s="14" t="s">
        <v>12</v>
      </c>
      <c r="H12" s="48"/>
      <c r="I12" s="14" t="s">
        <v>12</v>
      </c>
      <c r="J12" s="7"/>
      <c r="K12" s="14" t="s">
        <v>12</v>
      </c>
      <c r="L12" s="48"/>
      <c r="M12" s="14" t="s">
        <v>12</v>
      </c>
      <c r="N12" s="7"/>
      <c r="O12" s="7"/>
      <c r="P12" s="7"/>
      <c r="Q12" s="14" t="s">
        <v>12</v>
      </c>
      <c r="R12" s="7"/>
      <c r="S12" s="47"/>
      <c r="T12" s="48"/>
      <c r="U12" s="48"/>
      <c r="V12" s="48"/>
      <c r="W12" s="47"/>
      <c r="X12" s="16"/>
    </row>
    <row r="13" spans="1:24" ht="12.75">
      <c r="A13" s="8"/>
      <c r="B13" s="8"/>
      <c r="C13" s="8"/>
      <c r="D13" s="8"/>
      <c r="E13" s="8"/>
      <c r="F13" s="49"/>
      <c r="G13" s="15" t="s">
        <v>13</v>
      </c>
      <c r="H13" s="50"/>
      <c r="I13" s="15" t="s">
        <v>13</v>
      </c>
      <c r="J13" s="9"/>
      <c r="K13" s="15" t="s">
        <v>13</v>
      </c>
      <c r="L13" s="50"/>
      <c r="M13" s="15" t="s">
        <v>13</v>
      </c>
      <c r="N13" s="9"/>
      <c r="O13" s="9"/>
      <c r="P13" s="9"/>
      <c r="Q13" s="15" t="s">
        <v>13</v>
      </c>
      <c r="R13" s="9"/>
      <c r="S13" s="22"/>
      <c r="T13" s="55"/>
      <c r="U13" s="55"/>
      <c r="V13" s="55"/>
      <c r="W13" s="22"/>
      <c r="X13" s="16"/>
    </row>
    <row r="14" spans="1:24" ht="14.25" customHeight="1">
      <c r="A14" s="31"/>
      <c r="B14" s="73"/>
      <c r="C14" s="181">
        <v>701</v>
      </c>
      <c r="D14" s="130" t="s">
        <v>122</v>
      </c>
      <c r="E14" s="144" t="s">
        <v>525</v>
      </c>
      <c r="F14" s="51">
        <v>9</v>
      </c>
      <c r="G14" s="83">
        <v>10.88</v>
      </c>
      <c r="H14" s="34">
        <f>G16</f>
        <v>107</v>
      </c>
      <c r="I14" s="83">
        <v>4.8</v>
      </c>
      <c r="J14" s="34">
        <f>G17+I16</f>
        <v>452</v>
      </c>
      <c r="K14" s="82">
        <v>28.3</v>
      </c>
      <c r="L14" s="34">
        <f>I17+K16</f>
        <v>793</v>
      </c>
      <c r="M14" s="83">
        <v>20.18</v>
      </c>
      <c r="N14" s="27">
        <f>K17+M16</f>
        <v>957</v>
      </c>
      <c r="O14" s="84">
        <v>2</v>
      </c>
      <c r="P14" s="7" t="s">
        <v>25</v>
      </c>
      <c r="Q14" s="184" t="s">
        <v>523</v>
      </c>
      <c r="R14" s="28">
        <f>M17+Q16</f>
        <v>1317</v>
      </c>
      <c r="S14" s="56"/>
      <c r="T14" s="52"/>
      <c r="U14" s="22"/>
      <c r="V14" s="55"/>
      <c r="W14" s="57"/>
      <c r="X14" s="52"/>
    </row>
    <row r="15" spans="1:24" ht="12.75" customHeight="1">
      <c r="A15" s="32">
        <v>1</v>
      </c>
      <c r="B15" s="74"/>
      <c r="E15" s="10"/>
      <c r="F15" s="46">
        <v>10</v>
      </c>
      <c r="G15" s="14"/>
      <c r="H15" s="35">
        <f>G16</f>
        <v>107</v>
      </c>
      <c r="I15" s="85"/>
      <c r="J15" s="35">
        <f>G17+I16</f>
        <v>452</v>
      </c>
      <c r="K15" s="85"/>
      <c r="L15" s="35">
        <f>I17+K16</f>
        <v>793</v>
      </c>
      <c r="M15" s="14"/>
      <c r="N15" s="19">
        <f>K17+M16</f>
        <v>957</v>
      </c>
      <c r="O15" s="14"/>
      <c r="P15" s="14"/>
      <c r="Q15" s="14"/>
      <c r="R15" s="29">
        <f>M17+Q16</f>
        <v>1317</v>
      </c>
      <c r="S15" s="22"/>
      <c r="T15" s="52"/>
      <c r="U15" s="22"/>
      <c r="V15" s="22"/>
      <c r="W15" s="22"/>
      <c r="X15" s="52"/>
    </row>
    <row r="16" spans="1:25" ht="14.25" customHeight="1">
      <c r="A16" s="152"/>
      <c r="B16" s="175">
        <v>1</v>
      </c>
      <c r="C16" s="11" t="s">
        <v>103</v>
      </c>
      <c r="D16" s="11"/>
      <c r="E16" s="25">
        <f>R17</f>
        <v>1317</v>
      </c>
      <c r="F16" s="51">
        <v>11</v>
      </c>
      <c r="G16" s="17">
        <f>ROUNDDOWN(12.91*((G14*1)-4)^1.1,0)</f>
        <v>107</v>
      </c>
      <c r="H16" s="35">
        <f>G16</f>
        <v>107</v>
      </c>
      <c r="I16" s="17">
        <f>ROUNDDOWN(0.14354*(100*(I14*1)-220)^1.4,0)</f>
        <v>345</v>
      </c>
      <c r="J16" s="35">
        <f>G17+I16</f>
        <v>452</v>
      </c>
      <c r="K16" s="39">
        <f>IF(K14=0,0,TRUNC(5.8425*((37.76-(K14*1))^1.81)))</f>
        <v>341</v>
      </c>
      <c r="L16" s="35">
        <f>I17+K16</f>
        <v>793</v>
      </c>
      <c r="M16" s="17">
        <f>ROUNDDOWN(10.14*((M14*1)-7)^1.08,0)</f>
        <v>164</v>
      </c>
      <c r="N16" s="19">
        <f>K17+M16</f>
        <v>957</v>
      </c>
      <c r="O16" s="14"/>
      <c r="P16" s="14"/>
      <c r="Q16" s="23">
        <f>IF(O14+Q14=0,0,TRUNC(0.232*((200-(O14*60+Q14))^1.85)))</f>
        <v>360</v>
      </c>
      <c r="R16" s="29">
        <f>M17+Q16</f>
        <v>1317</v>
      </c>
      <c r="S16" s="17"/>
      <c r="T16" s="52"/>
      <c r="U16" s="22"/>
      <c r="V16" s="22"/>
      <c r="W16" s="39"/>
      <c r="X16" s="52"/>
      <c r="Y16" s="38"/>
    </row>
    <row r="17" spans="1:24" ht="14.25" customHeight="1">
      <c r="A17" s="33"/>
      <c r="B17" s="76"/>
      <c r="C17" s="8"/>
      <c r="D17" s="8"/>
      <c r="E17" s="8"/>
      <c r="F17" s="46">
        <v>12</v>
      </c>
      <c r="G17" s="15">
        <f>E17+G16</f>
        <v>107</v>
      </c>
      <c r="H17" s="36">
        <f>G16</f>
        <v>107</v>
      </c>
      <c r="I17" s="24">
        <f>G17+I16</f>
        <v>452</v>
      </c>
      <c r="J17" s="35">
        <f>G17+I16</f>
        <v>452</v>
      </c>
      <c r="K17" s="24">
        <f>I17+K16</f>
        <v>793</v>
      </c>
      <c r="L17" s="35">
        <f>I17+K16</f>
        <v>793</v>
      </c>
      <c r="M17" s="15">
        <f>K17+M16</f>
        <v>957</v>
      </c>
      <c r="N17" s="19">
        <f>K17+M16</f>
        <v>957</v>
      </c>
      <c r="O17" s="15"/>
      <c r="P17" s="15"/>
      <c r="Q17" s="24">
        <f>M17+Q16</f>
        <v>1317</v>
      </c>
      <c r="R17" s="29">
        <f>M17+Q16</f>
        <v>1317</v>
      </c>
      <c r="S17" s="22"/>
      <c r="T17" s="52"/>
      <c r="U17" s="22"/>
      <c r="V17" s="22"/>
      <c r="W17" s="39"/>
      <c r="X17" s="52"/>
    </row>
    <row r="18" spans="1:24" ht="14.25" customHeight="1">
      <c r="A18" s="31"/>
      <c r="B18" s="73"/>
      <c r="C18" s="181">
        <v>702</v>
      </c>
      <c r="D18" s="130" t="s">
        <v>123</v>
      </c>
      <c r="E18" s="182" t="s">
        <v>526</v>
      </c>
      <c r="F18" s="51">
        <v>5</v>
      </c>
      <c r="G18" s="83">
        <v>16.9</v>
      </c>
      <c r="H18" s="34">
        <f>G20</f>
        <v>215</v>
      </c>
      <c r="I18" s="83">
        <v>4.51</v>
      </c>
      <c r="J18" s="34">
        <f>G21+I20</f>
        <v>507</v>
      </c>
      <c r="K18" s="82">
        <v>28.4</v>
      </c>
      <c r="L18" s="34">
        <f>I21+K20</f>
        <v>841</v>
      </c>
      <c r="M18" s="83">
        <v>17.67</v>
      </c>
      <c r="N18" s="27">
        <f>K21+M20</f>
        <v>971</v>
      </c>
      <c r="O18" s="84">
        <v>2</v>
      </c>
      <c r="P18" s="7" t="s">
        <v>25</v>
      </c>
      <c r="Q18" s="184" t="s">
        <v>522</v>
      </c>
      <c r="R18" s="28">
        <f>M21+Q20</f>
        <v>1190</v>
      </c>
      <c r="S18" s="56"/>
      <c r="T18" s="52"/>
      <c r="U18" s="22"/>
      <c r="V18" s="55"/>
      <c r="W18" s="57"/>
      <c r="X18" s="52"/>
    </row>
    <row r="19" spans="1:24" ht="12.75" customHeight="1">
      <c r="A19" s="32">
        <v>2</v>
      </c>
      <c r="B19" s="74"/>
      <c r="E19" s="10"/>
      <c r="F19" s="46">
        <v>6</v>
      </c>
      <c r="G19" s="14"/>
      <c r="H19" s="35">
        <f>G20</f>
        <v>215</v>
      </c>
      <c r="I19" s="85"/>
      <c r="J19" s="35">
        <f>G21+I20</f>
        <v>507</v>
      </c>
      <c r="K19" s="85"/>
      <c r="L19" s="35">
        <f>I21+K20</f>
        <v>841</v>
      </c>
      <c r="M19" s="14"/>
      <c r="N19" s="19">
        <f>K21+M20</f>
        <v>971</v>
      </c>
      <c r="O19" s="14"/>
      <c r="P19" s="14"/>
      <c r="Q19" s="14"/>
      <c r="R19" s="29">
        <f>M21+Q20</f>
        <v>1190</v>
      </c>
      <c r="S19" s="22"/>
      <c r="T19" s="52"/>
      <c r="U19" s="22"/>
      <c r="V19" s="22"/>
      <c r="W19" s="22"/>
      <c r="X19" s="52"/>
    </row>
    <row r="20" spans="1:25" ht="14.25" customHeight="1">
      <c r="A20" s="32"/>
      <c r="B20" s="77">
        <v>2</v>
      </c>
      <c r="C20" s="11" t="s">
        <v>103</v>
      </c>
      <c r="D20" s="11"/>
      <c r="E20" s="25">
        <f>R21</f>
        <v>1190</v>
      </c>
      <c r="F20" s="51">
        <v>7</v>
      </c>
      <c r="G20" s="17">
        <f>ROUNDDOWN(12.91*((G18*1)-4)^1.1,0)</f>
        <v>215</v>
      </c>
      <c r="H20" s="35">
        <f>G20</f>
        <v>215</v>
      </c>
      <c r="I20" s="17">
        <f>ROUNDDOWN(0.14354*(100*(I18*1)-220)^1.4,0)</f>
        <v>292</v>
      </c>
      <c r="J20" s="35">
        <f>G21+I20</f>
        <v>507</v>
      </c>
      <c r="K20" s="39">
        <f>IF(K18=0,0,TRUNC(5.8425*((37.76-(K18*1))^1.81)))</f>
        <v>334</v>
      </c>
      <c r="L20" s="35">
        <f>I21+K20</f>
        <v>841</v>
      </c>
      <c r="M20" s="17">
        <f>ROUNDDOWN(10.14*((M18*1)-7)^1.08,0)</f>
        <v>130</v>
      </c>
      <c r="N20" s="19">
        <f>K21+M20</f>
        <v>971</v>
      </c>
      <c r="O20" s="14"/>
      <c r="P20" s="14"/>
      <c r="Q20" s="23">
        <f>IF(O18+Q18=0,0,TRUNC(0.232*((200-(O18*60+Q18))^1.85)))</f>
        <v>219</v>
      </c>
      <c r="R20" s="29">
        <f>M21+Q20</f>
        <v>1190</v>
      </c>
      <c r="S20" s="17"/>
      <c r="T20" s="52"/>
      <c r="U20" s="22"/>
      <c r="V20" s="22"/>
      <c r="W20" s="39"/>
      <c r="X20" s="52"/>
      <c r="Y20" s="38"/>
    </row>
    <row r="21" spans="1:24" ht="14.25" customHeight="1">
      <c r="A21" s="33"/>
      <c r="B21" s="76"/>
      <c r="C21" s="8"/>
      <c r="D21" s="8"/>
      <c r="E21" s="8"/>
      <c r="F21" s="46">
        <v>8</v>
      </c>
      <c r="G21" s="15">
        <f>E21+G20</f>
        <v>215</v>
      </c>
      <c r="H21" s="36">
        <f>G20</f>
        <v>215</v>
      </c>
      <c r="I21" s="24">
        <f>G21+I20</f>
        <v>507</v>
      </c>
      <c r="J21" s="35">
        <f>G21+I20</f>
        <v>507</v>
      </c>
      <c r="K21" s="24">
        <f>I21+K20</f>
        <v>841</v>
      </c>
      <c r="L21" s="35">
        <f>I21+K20</f>
        <v>841</v>
      </c>
      <c r="M21" s="15">
        <f>K21+M20</f>
        <v>971</v>
      </c>
      <c r="N21" s="19">
        <f>K21+M20</f>
        <v>971</v>
      </c>
      <c r="O21" s="15"/>
      <c r="P21" s="15"/>
      <c r="Q21" s="24">
        <f>M21+Q20</f>
        <v>1190</v>
      </c>
      <c r="R21" s="29">
        <f>M21+Q20</f>
        <v>1190</v>
      </c>
      <c r="S21" s="22"/>
      <c r="T21" s="52"/>
      <c r="U21" s="22"/>
      <c r="V21" s="22"/>
      <c r="W21" s="39"/>
      <c r="X21" s="52"/>
    </row>
    <row r="22" spans="1:24" ht="14.25" customHeight="1">
      <c r="A22" s="31"/>
      <c r="B22" s="73"/>
      <c r="C22" s="181">
        <v>703</v>
      </c>
      <c r="D22" s="130" t="s">
        <v>124</v>
      </c>
      <c r="E22" s="144" t="s">
        <v>437</v>
      </c>
      <c r="F22" s="51">
        <v>1</v>
      </c>
      <c r="G22" s="83">
        <v>13.74</v>
      </c>
      <c r="H22" s="34">
        <f>G24</f>
        <v>157</v>
      </c>
      <c r="I22" s="83">
        <v>3.15</v>
      </c>
      <c r="J22" s="34">
        <f>G25+I24</f>
        <v>241</v>
      </c>
      <c r="K22" s="82">
        <v>30.3</v>
      </c>
      <c r="L22" s="34">
        <f>I25+K24</f>
        <v>462</v>
      </c>
      <c r="M22" s="83">
        <v>11.5</v>
      </c>
      <c r="N22" s="27">
        <f>K25+M24</f>
        <v>513</v>
      </c>
      <c r="O22" s="84">
        <v>2</v>
      </c>
      <c r="P22" s="7" t="s">
        <v>25</v>
      </c>
      <c r="Q22" s="184" t="s">
        <v>524</v>
      </c>
      <c r="R22" s="28">
        <f>M25+Q24</f>
        <v>744</v>
      </c>
      <c r="S22" s="56"/>
      <c r="T22" s="52"/>
      <c r="U22" s="22"/>
      <c r="V22" s="55"/>
      <c r="W22" s="57"/>
      <c r="X22" s="52"/>
    </row>
    <row r="23" spans="1:24" ht="12.75" customHeight="1">
      <c r="A23" s="32">
        <v>3</v>
      </c>
      <c r="B23" s="74"/>
      <c r="E23" s="10"/>
      <c r="F23" s="46">
        <v>2</v>
      </c>
      <c r="G23" s="14"/>
      <c r="H23" s="35">
        <f>G24</f>
        <v>157</v>
      </c>
      <c r="I23" s="85"/>
      <c r="J23" s="35">
        <f>G25+I24</f>
        <v>241</v>
      </c>
      <c r="K23" s="85"/>
      <c r="L23" s="35">
        <f>I25+K24</f>
        <v>462</v>
      </c>
      <c r="M23" s="14"/>
      <c r="N23" s="19">
        <f>K25+M24</f>
        <v>513</v>
      </c>
      <c r="O23" s="14"/>
      <c r="P23" s="14"/>
      <c r="Q23" s="14"/>
      <c r="R23" s="29">
        <f>M25+Q24</f>
        <v>744</v>
      </c>
      <c r="S23" s="22"/>
      <c r="T23" s="52"/>
      <c r="U23" s="22"/>
      <c r="V23" s="22"/>
      <c r="W23" s="22"/>
      <c r="X23" s="52"/>
    </row>
    <row r="24" spans="1:25" ht="14.25" customHeight="1">
      <c r="A24" s="32"/>
      <c r="B24" s="176">
        <v>3</v>
      </c>
      <c r="C24" s="11" t="s">
        <v>64</v>
      </c>
      <c r="D24" s="11"/>
      <c r="E24" s="25">
        <f>R25</f>
        <v>744</v>
      </c>
      <c r="F24" s="51">
        <v>3</v>
      </c>
      <c r="G24" s="17">
        <f>ROUNDDOWN(12.91*((G22*1)-4)^1.1,0)</f>
        <v>157</v>
      </c>
      <c r="H24" s="35">
        <f>G24</f>
        <v>157</v>
      </c>
      <c r="I24" s="17">
        <f>ROUNDDOWN(0.14354*(100*(I22*1)-220)^1.4,0)</f>
        <v>84</v>
      </c>
      <c r="J24" s="35">
        <f>G25+I24</f>
        <v>241</v>
      </c>
      <c r="K24" s="39">
        <f>IF(K22=0,0,TRUNC(5.8425*((37.76-(K22*1))^1.81)))</f>
        <v>221</v>
      </c>
      <c r="L24" s="35">
        <f>I25+K24</f>
        <v>462</v>
      </c>
      <c r="M24" s="17">
        <f>ROUNDDOWN(10.14*((M22*1)-7)^1.08,0)</f>
        <v>51</v>
      </c>
      <c r="N24" s="19">
        <f>K25+M24</f>
        <v>513</v>
      </c>
      <c r="O24" s="14"/>
      <c r="P24" s="14"/>
      <c r="Q24" s="23">
        <f>IF(O22+Q22=0,0,TRUNC(0.232*((200-(O22*60+Q22))^1.85)))</f>
        <v>231</v>
      </c>
      <c r="R24" s="29">
        <f>M25+Q24</f>
        <v>744</v>
      </c>
      <c r="S24" s="17"/>
      <c r="T24" s="52"/>
      <c r="U24" s="22"/>
      <c r="V24" s="22"/>
      <c r="W24" s="39"/>
      <c r="X24" s="52"/>
      <c r="Y24" s="38"/>
    </row>
    <row r="25" spans="1:24" ht="14.25" customHeight="1">
      <c r="A25" s="33"/>
      <c r="B25" s="76"/>
      <c r="C25" s="8"/>
      <c r="D25" s="8"/>
      <c r="E25" s="8"/>
      <c r="F25" s="46">
        <v>4</v>
      </c>
      <c r="G25" s="15">
        <f>E25+G24</f>
        <v>157</v>
      </c>
      <c r="H25" s="36">
        <f>G24</f>
        <v>157</v>
      </c>
      <c r="I25" s="24">
        <f>G25+I24</f>
        <v>241</v>
      </c>
      <c r="J25" s="36">
        <f>G25+I24</f>
        <v>241</v>
      </c>
      <c r="K25" s="24">
        <f>I25+K24</f>
        <v>462</v>
      </c>
      <c r="L25" s="36">
        <f>I25+K24</f>
        <v>462</v>
      </c>
      <c r="M25" s="15">
        <f>K25+M24</f>
        <v>513</v>
      </c>
      <c r="N25" s="9">
        <f>K25+M24</f>
        <v>513</v>
      </c>
      <c r="O25" s="15"/>
      <c r="P25" s="15"/>
      <c r="Q25" s="24">
        <f>M25+Q24</f>
        <v>744</v>
      </c>
      <c r="R25" s="30">
        <f>M25+Q24</f>
        <v>744</v>
      </c>
      <c r="S25" s="22"/>
      <c r="T25" s="52"/>
      <c r="U25" s="22"/>
      <c r="V25" s="22"/>
      <c r="W25" s="39"/>
      <c r="X25" s="52"/>
    </row>
    <row r="26" spans="1:24" ht="14.25" customHeight="1">
      <c r="A26" s="97"/>
      <c r="B26" s="73"/>
      <c r="C26" s="98"/>
      <c r="D26" s="95"/>
      <c r="E26" s="177"/>
      <c r="F26" s="127"/>
      <c r="G26" s="101"/>
      <c r="H26" s="35"/>
      <c r="I26" s="101"/>
      <c r="J26" s="35"/>
      <c r="K26" s="102"/>
      <c r="L26" s="35"/>
      <c r="M26" s="101"/>
      <c r="N26" s="19"/>
      <c r="O26" s="122"/>
      <c r="P26" s="19"/>
      <c r="Q26" s="104"/>
      <c r="R26" s="29"/>
      <c r="S26" s="56"/>
      <c r="T26" s="52"/>
      <c r="U26" s="22"/>
      <c r="V26" s="55"/>
      <c r="W26" s="57"/>
      <c r="X26" s="52"/>
    </row>
    <row r="27" spans="1:24" ht="12.75" customHeight="1">
      <c r="A27" s="97"/>
      <c r="B27" s="73"/>
      <c r="C27" s="20"/>
      <c r="D27" s="20"/>
      <c r="E27" s="105"/>
      <c r="F27" s="126"/>
      <c r="G27" s="18"/>
      <c r="H27" s="35"/>
      <c r="I27" s="106"/>
      <c r="J27" s="35"/>
      <c r="K27" s="106"/>
      <c r="L27" s="35"/>
      <c r="M27" s="18"/>
      <c r="N27" s="19"/>
      <c r="O27" s="18"/>
      <c r="P27" s="18"/>
      <c r="Q27" s="18"/>
      <c r="R27" s="29"/>
      <c r="S27" s="22"/>
      <c r="T27" s="52"/>
      <c r="U27" s="22"/>
      <c r="V27" s="22"/>
      <c r="W27" s="22"/>
      <c r="X27" s="52"/>
    </row>
    <row r="28" spans="1:25" ht="14.25" customHeight="1">
      <c r="A28" s="97"/>
      <c r="B28" s="133"/>
      <c r="C28" s="95"/>
      <c r="D28" s="95"/>
      <c r="E28" s="108"/>
      <c r="F28" s="128"/>
      <c r="G28" s="17"/>
      <c r="H28" s="35"/>
      <c r="I28" s="17"/>
      <c r="J28" s="35"/>
      <c r="K28" s="39"/>
      <c r="L28" s="35"/>
      <c r="M28" s="17"/>
      <c r="N28" s="19"/>
      <c r="O28" s="18"/>
      <c r="P28" s="18"/>
      <c r="Q28" s="23"/>
      <c r="R28" s="29"/>
      <c r="S28" s="17"/>
      <c r="T28" s="52"/>
      <c r="U28" s="22"/>
      <c r="V28" s="22"/>
      <c r="W28" s="39"/>
      <c r="X28" s="52"/>
      <c r="Y28" s="38"/>
    </row>
    <row r="29" spans="1:24" ht="14.25" customHeight="1">
      <c r="A29" s="97"/>
      <c r="B29" s="73"/>
      <c r="C29" s="20"/>
      <c r="D29" s="20"/>
      <c r="E29" s="20"/>
      <c r="F29" s="126"/>
      <c r="G29" s="18"/>
      <c r="H29" s="35"/>
      <c r="I29" s="110"/>
      <c r="J29" s="35"/>
      <c r="K29" s="110"/>
      <c r="L29" s="35"/>
      <c r="M29" s="18"/>
      <c r="N29" s="19"/>
      <c r="O29" s="18"/>
      <c r="P29" s="18"/>
      <c r="Q29" s="110"/>
      <c r="R29" s="29"/>
      <c r="S29" s="22"/>
      <c r="T29" s="52"/>
      <c r="U29" s="22"/>
      <c r="V29" s="22"/>
      <c r="W29" s="39"/>
      <c r="X29" s="52"/>
    </row>
    <row r="30" spans="1:24" ht="14.25" customHeight="1">
      <c r="A30" s="97"/>
      <c r="B30" s="73"/>
      <c r="C30" s="98"/>
      <c r="D30" s="95"/>
      <c r="E30" s="177"/>
      <c r="F30" s="127"/>
      <c r="G30" s="101"/>
      <c r="H30" s="35"/>
      <c r="I30" s="101"/>
      <c r="J30" s="35"/>
      <c r="K30" s="102"/>
      <c r="L30" s="35"/>
      <c r="M30" s="101"/>
      <c r="N30" s="19"/>
      <c r="O30" s="122"/>
      <c r="P30" s="19"/>
      <c r="Q30" s="172"/>
      <c r="R30" s="29"/>
      <c r="S30" s="56"/>
      <c r="T30" s="52"/>
      <c r="U30" s="22"/>
      <c r="V30" s="55"/>
      <c r="W30" s="57"/>
      <c r="X30" s="52"/>
    </row>
    <row r="31" spans="1:24" ht="12.75" customHeight="1">
      <c r="A31" s="97"/>
      <c r="B31" s="73"/>
      <c r="C31" s="20"/>
      <c r="D31" s="20"/>
      <c r="E31" s="105"/>
      <c r="F31" s="126"/>
      <c r="G31" s="18"/>
      <c r="H31" s="35"/>
      <c r="I31" s="106"/>
      <c r="J31" s="35"/>
      <c r="K31" s="106"/>
      <c r="L31" s="35"/>
      <c r="M31" s="18"/>
      <c r="N31" s="19"/>
      <c r="O31" s="18"/>
      <c r="P31" s="18"/>
      <c r="Q31" s="18"/>
      <c r="R31" s="29"/>
      <c r="S31" s="22"/>
      <c r="T31" s="52"/>
      <c r="U31" s="22"/>
      <c r="V31" s="22"/>
      <c r="W31" s="22"/>
      <c r="X31" s="52"/>
    </row>
    <row r="32" spans="1:25" ht="14.25" customHeight="1">
      <c r="A32" s="97"/>
      <c r="B32" s="133"/>
      <c r="C32" s="95"/>
      <c r="D32" s="95"/>
      <c r="E32" s="108"/>
      <c r="F32" s="128"/>
      <c r="G32" s="17"/>
      <c r="H32" s="35"/>
      <c r="I32" s="17"/>
      <c r="J32" s="35"/>
      <c r="K32" s="39"/>
      <c r="L32" s="35"/>
      <c r="M32" s="17"/>
      <c r="N32" s="19"/>
      <c r="O32" s="18"/>
      <c r="P32" s="18"/>
      <c r="Q32" s="23"/>
      <c r="R32" s="29"/>
      <c r="S32" s="17"/>
      <c r="T32" s="52"/>
      <c r="U32" s="22"/>
      <c r="V32" s="22"/>
      <c r="W32" s="39"/>
      <c r="X32" s="52"/>
      <c r="Y32" s="38"/>
    </row>
    <row r="33" spans="1:24" ht="14.25" customHeight="1">
      <c r="A33" s="97"/>
      <c r="B33" s="73"/>
      <c r="C33" s="20"/>
      <c r="D33" s="20"/>
      <c r="E33" s="20"/>
      <c r="F33" s="126"/>
      <c r="G33" s="18"/>
      <c r="H33" s="35"/>
      <c r="I33" s="110"/>
      <c r="J33" s="35"/>
      <c r="K33" s="110"/>
      <c r="L33" s="35"/>
      <c r="M33" s="18"/>
      <c r="N33" s="19"/>
      <c r="O33" s="18"/>
      <c r="P33" s="18"/>
      <c r="Q33" s="110"/>
      <c r="R33" s="29"/>
      <c r="S33" s="22"/>
      <c r="T33" s="52"/>
      <c r="U33" s="22"/>
      <c r="V33" s="22"/>
      <c r="W33" s="39"/>
      <c r="X33" s="52"/>
    </row>
    <row r="34" spans="1:24" ht="14.25" customHeight="1">
      <c r="A34" s="97"/>
      <c r="B34" s="73"/>
      <c r="C34" s="98"/>
      <c r="D34" s="95"/>
      <c r="E34" s="177"/>
      <c r="F34" s="127"/>
      <c r="G34" s="101"/>
      <c r="H34" s="35"/>
      <c r="I34" s="101"/>
      <c r="J34" s="35"/>
      <c r="K34" s="102"/>
      <c r="L34" s="35"/>
      <c r="M34" s="101"/>
      <c r="N34" s="19"/>
      <c r="O34" s="122"/>
      <c r="P34" s="19"/>
      <c r="Q34" s="104"/>
      <c r="R34" s="29"/>
      <c r="S34" s="56"/>
      <c r="T34" s="52"/>
      <c r="U34" s="22"/>
      <c r="V34" s="55"/>
      <c r="W34" s="57"/>
      <c r="X34" s="52"/>
    </row>
    <row r="35" spans="1:24" ht="12.75" customHeight="1">
      <c r="A35" s="97"/>
      <c r="B35" s="73"/>
      <c r="C35" s="20"/>
      <c r="D35" s="20"/>
      <c r="E35" s="105"/>
      <c r="F35" s="126"/>
      <c r="G35" s="18"/>
      <c r="H35" s="35"/>
      <c r="I35" s="106"/>
      <c r="J35" s="35"/>
      <c r="K35" s="106"/>
      <c r="L35" s="35"/>
      <c r="M35" s="18"/>
      <c r="N35" s="19"/>
      <c r="O35" s="18"/>
      <c r="P35" s="18"/>
      <c r="Q35" s="18"/>
      <c r="R35" s="29"/>
      <c r="S35" s="22"/>
      <c r="T35" s="52"/>
      <c r="U35" s="22"/>
      <c r="V35" s="22"/>
      <c r="W35" s="22"/>
      <c r="X35" s="52"/>
    </row>
    <row r="36" spans="1:24" ht="14.25" customHeight="1">
      <c r="A36" s="97"/>
      <c r="B36" s="133"/>
      <c r="C36" s="95"/>
      <c r="D36" s="95"/>
      <c r="E36" s="108"/>
      <c r="F36" s="128"/>
      <c r="G36" s="17"/>
      <c r="H36" s="35"/>
      <c r="I36" s="17"/>
      <c r="J36" s="35"/>
      <c r="K36" s="39"/>
      <c r="L36" s="35"/>
      <c r="M36" s="17"/>
      <c r="N36" s="19"/>
      <c r="O36" s="18"/>
      <c r="P36" s="18"/>
      <c r="Q36" s="23"/>
      <c r="R36" s="29"/>
      <c r="S36" s="17"/>
      <c r="T36" s="52"/>
      <c r="U36" s="22"/>
      <c r="V36" s="22"/>
      <c r="W36" s="39"/>
      <c r="X36" s="52"/>
    </row>
    <row r="37" spans="1:24" ht="14.25" customHeight="1">
      <c r="A37" s="97"/>
      <c r="B37" s="73"/>
      <c r="C37" s="20"/>
      <c r="D37" s="20"/>
      <c r="E37" s="20"/>
      <c r="F37" s="126"/>
      <c r="G37" s="18"/>
      <c r="H37" s="35"/>
      <c r="I37" s="110"/>
      <c r="J37" s="35"/>
      <c r="K37" s="110"/>
      <c r="L37" s="35"/>
      <c r="M37" s="18"/>
      <c r="N37" s="19"/>
      <c r="O37" s="18"/>
      <c r="P37" s="18"/>
      <c r="Q37" s="110"/>
      <c r="R37" s="29"/>
      <c r="S37" s="22"/>
      <c r="T37" s="52"/>
      <c r="U37" s="22"/>
      <c r="V37" s="22"/>
      <c r="W37" s="39"/>
      <c r="X37" s="52"/>
    </row>
    <row r="38" spans="1:24" ht="14.25" customHeight="1">
      <c r="A38" s="97"/>
      <c r="B38" s="73"/>
      <c r="C38" s="98"/>
      <c r="D38" s="95"/>
      <c r="E38" s="177"/>
      <c r="F38" s="127"/>
      <c r="G38" s="101"/>
      <c r="H38" s="35"/>
      <c r="I38" s="101"/>
      <c r="J38" s="35"/>
      <c r="K38" s="102"/>
      <c r="L38" s="35"/>
      <c r="M38" s="101"/>
      <c r="N38" s="19"/>
      <c r="O38" s="122"/>
      <c r="P38" s="19"/>
      <c r="Q38" s="104"/>
      <c r="R38" s="29"/>
      <c r="S38" s="56"/>
      <c r="T38" s="52"/>
      <c r="U38" s="22"/>
      <c r="V38" s="55"/>
      <c r="W38" s="57"/>
      <c r="X38" s="52"/>
    </row>
    <row r="39" spans="1:24" ht="12.75" customHeight="1">
      <c r="A39" s="97"/>
      <c r="B39" s="73"/>
      <c r="C39" s="20"/>
      <c r="D39" s="20"/>
      <c r="E39" s="105"/>
      <c r="F39" s="126"/>
      <c r="G39" s="18"/>
      <c r="H39" s="35"/>
      <c r="I39" s="106"/>
      <c r="J39" s="35"/>
      <c r="K39" s="106"/>
      <c r="L39" s="35"/>
      <c r="M39" s="18"/>
      <c r="N39" s="19"/>
      <c r="O39" s="18"/>
      <c r="P39" s="18"/>
      <c r="Q39" s="18"/>
      <c r="R39" s="29"/>
      <c r="S39" s="22"/>
      <c r="T39" s="52"/>
      <c r="U39" s="22"/>
      <c r="V39" s="22"/>
      <c r="W39" s="22"/>
      <c r="X39" s="52"/>
    </row>
    <row r="40" spans="1:24" ht="14.25" customHeight="1">
      <c r="A40" s="97"/>
      <c r="B40" s="133"/>
      <c r="C40" s="95"/>
      <c r="D40" s="95"/>
      <c r="E40" s="108"/>
      <c r="F40" s="128"/>
      <c r="G40" s="17"/>
      <c r="H40" s="35"/>
      <c r="I40" s="17"/>
      <c r="J40" s="35"/>
      <c r="K40" s="39"/>
      <c r="L40" s="35"/>
      <c r="M40" s="17"/>
      <c r="N40" s="19"/>
      <c r="O40" s="18"/>
      <c r="P40" s="18"/>
      <c r="Q40" s="23"/>
      <c r="R40" s="29"/>
      <c r="S40" s="17"/>
      <c r="T40" s="52"/>
      <c r="U40" s="22"/>
      <c r="V40" s="22"/>
      <c r="W40" s="39"/>
      <c r="X40" s="52"/>
    </row>
    <row r="41" spans="1:24" ht="14.25" customHeight="1">
      <c r="A41" s="97"/>
      <c r="B41" s="73"/>
      <c r="C41" s="20"/>
      <c r="D41" s="20"/>
      <c r="E41" s="20"/>
      <c r="F41" s="126"/>
      <c r="G41" s="18"/>
      <c r="H41" s="35"/>
      <c r="I41" s="110"/>
      <c r="J41" s="35"/>
      <c r="K41" s="110"/>
      <c r="L41" s="35"/>
      <c r="M41" s="18"/>
      <c r="N41" s="19"/>
      <c r="O41" s="18"/>
      <c r="P41" s="18"/>
      <c r="Q41" s="110"/>
      <c r="R41" s="29"/>
      <c r="S41" s="22"/>
      <c r="T41" s="52"/>
      <c r="U41" s="22"/>
      <c r="V41" s="22"/>
      <c r="W41" s="39"/>
      <c r="X41" s="52"/>
    </row>
    <row r="42" spans="1:19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57" spans="1:19" ht="12.75">
      <c r="A57" s="20"/>
      <c r="B57" s="20"/>
      <c r="C57" s="20"/>
      <c r="D57" s="20"/>
      <c r="E57" s="20"/>
      <c r="F57" s="20"/>
      <c r="G57" s="20"/>
      <c r="H57" s="1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19" ht="15.75">
      <c r="A58" s="114"/>
      <c r="B58" s="11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15.75">
      <c r="A59" s="114"/>
      <c r="B59" s="114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ht="15.75">
      <c r="A60" s="114"/>
      <c r="B60" s="114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15.75">
      <c r="A62" s="6"/>
      <c r="B62" s="6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24" ht="12.75">
      <c r="A63" s="115"/>
      <c r="B63" s="115"/>
      <c r="C63" s="20"/>
      <c r="D63" s="20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16"/>
      <c r="U63" s="16"/>
      <c r="V63" s="16"/>
      <c r="W63" s="16"/>
      <c r="X63" s="16"/>
    </row>
    <row r="64" spans="1:24" ht="12.75">
      <c r="A64" s="20"/>
      <c r="B64" s="20"/>
      <c r="C64" s="20"/>
      <c r="D64" s="20"/>
      <c r="E64" s="38"/>
      <c r="F64" s="38"/>
      <c r="G64" s="116"/>
      <c r="H64" s="123"/>
      <c r="I64" s="116"/>
      <c r="J64" s="116"/>
      <c r="K64" s="116"/>
      <c r="L64" s="123"/>
      <c r="M64" s="116"/>
      <c r="N64" s="116"/>
      <c r="O64" s="116"/>
      <c r="P64" s="116"/>
      <c r="Q64" s="116"/>
      <c r="R64" s="116"/>
      <c r="S64" s="123"/>
      <c r="T64" s="42"/>
      <c r="U64" s="42"/>
      <c r="V64" s="42"/>
      <c r="W64" s="43"/>
      <c r="X64" s="16"/>
    </row>
    <row r="65" spans="1:24" ht="14.25" customHeight="1">
      <c r="A65" s="116"/>
      <c r="B65" s="117"/>
      <c r="C65" s="118"/>
      <c r="D65" s="95"/>
      <c r="E65" s="119"/>
      <c r="F65" s="38"/>
      <c r="G65" s="120"/>
      <c r="H65" s="124"/>
      <c r="I65" s="120"/>
      <c r="J65" s="121"/>
      <c r="K65" s="120"/>
      <c r="L65" s="124"/>
      <c r="M65" s="120"/>
      <c r="N65" s="121"/>
      <c r="O65" s="121"/>
      <c r="P65" s="121"/>
      <c r="Q65" s="120"/>
      <c r="R65" s="121"/>
      <c r="S65" s="125"/>
      <c r="T65" s="45"/>
      <c r="U65" s="45"/>
      <c r="V65" s="45"/>
      <c r="W65" s="44"/>
      <c r="X65" s="16"/>
    </row>
    <row r="66" spans="1:24" ht="12.75">
      <c r="A66" s="116"/>
      <c r="B66" s="117"/>
      <c r="C66" s="20"/>
      <c r="D66" s="20"/>
      <c r="E66" s="105"/>
      <c r="F66" s="126"/>
      <c r="G66" s="18"/>
      <c r="H66" s="55"/>
      <c r="I66" s="18"/>
      <c r="J66" s="19"/>
      <c r="K66" s="18"/>
      <c r="L66" s="55"/>
      <c r="M66" s="18"/>
      <c r="N66" s="19"/>
      <c r="O66" s="19"/>
      <c r="P66" s="19"/>
      <c r="Q66" s="18"/>
      <c r="R66" s="19"/>
      <c r="S66" s="22"/>
      <c r="T66" s="48"/>
      <c r="U66" s="48"/>
      <c r="V66" s="48"/>
      <c r="W66" s="47"/>
      <c r="X66" s="16"/>
    </row>
    <row r="67" spans="1:24" ht="14.25" customHeight="1">
      <c r="A67" s="20"/>
      <c r="B67" s="20"/>
      <c r="C67" s="95"/>
      <c r="D67" s="20"/>
      <c r="E67" s="96"/>
      <c r="F67" s="55"/>
      <c r="G67" s="18"/>
      <c r="H67" s="55"/>
      <c r="I67" s="18"/>
      <c r="J67" s="19"/>
      <c r="K67" s="18"/>
      <c r="L67" s="55"/>
      <c r="M67" s="18"/>
      <c r="N67" s="19"/>
      <c r="O67" s="19"/>
      <c r="P67" s="19"/>
      <c r="Q67" s="18"/>
      <c r="R67" s="19"/>
      <c r="S67" s="22"/>
      <c r="T67" s="48"/>
      <c r="U67" s="48"/>
      <c r="V67" s="48"/>
      <c r="W67" s="47"/>
      <c r="X67" s="16"/>
    </row>
    <row r="68" spans="1:24" ht="12.75">
      <c r="A68" s="20"/>
      <c r="B68" s="20"/>
      <c r="C68" s="20"/>
      <c r="D68" s="20"/>
      <c r="E68" s="20"/>
      <c r="F68" s="38"/>
      <c r="G68" s="18"/>
      <c r="H68" s="55"/>
      <c r="I68" s="18"/>
      <c r="J68" s="19"/>
      <c r="K68" s="18"/>
      <c r="L68" s="55"/>
      <c r="M68" s="18"/>
      <c r="N68" s="19"/>
      <c r="O68" s="19"/>
      <c r="P68" s="19"/>
      <c r="Q68" s="18"/>
      <c r="R68" s="19"/>
      <c r="S68" s="22"/>
      <c r="T68" s="55"/>
      <c r="U68" s="55"/>
      <c r="V68" s="55"/>
      <c r="W68" s="22"/>
      <c r="X68" s="16"/>
    </row>
    <row r="69" spans="1:24" ht="14.25" customHeight="1">
      <c r="A69" s="97"/>
      <c r="B69" s="73"/>
      <c r="C69" s="98"/>
      <c r="D69" s="95"/>
      <c r="E69" s="99"/>
      <c r="F69" s="127"/>
      <c r="G69" s="102"/>
      <c r="H69" s="35"/>
      <c r="I69" s="101"/>
      <c r="J69" s="35"/>
      <c r="K69" s="101"/>
      <c r="L69" s="35"/>
      <c r="M69" s="101"/>
      <c r="N69" s="19"/>
      <c r="O69" s="122"/>
      <c r="P69" s="19"/>
      <c r="Q69" s="104"/>
      <c r="R69" s="29"/>
      <c r="S69" s="56"/>
      <c r="T69" s="52"/>
      <c r="U69" s="22"/>
      <c r="V69" s="55"/>
      <c r="W69" s="57"/>
      <c r="X69" s="52"/>
    </row>
    <row r="70" spans="1:24" ht="12.75" customHeight="1">
      <c r="A70" s="97"/>
      <c r="B70" s="73"/>
      <c r="C70" s="20"/>
      <c r="D70" s="20"/>
      <c r="E70" s="105"/>
      <c r="F70" s="126"/>
      <c r="G70" s="106"/>
      <c r="H70" s="35"/>
      <c r="I70" s="106"/>
      <c r="J70" s="35"/>
      <c r="K70" s="18"/>
      <c r="L70" s="35"/>
      <c r="M70" s="18"/>
      <c r="N70" s="19"/>
      <c r="O70" s="18"/>
      <c r="P70" s="18"/>
      <c r="Q70" s="18"/>
      <c r="R70" s="29"/>
      <c r="S70" s="22"/>
      <c r="T70" s="52"/>
      <c r="U70" s="22"/>
      <c r="V70" s="22"/>
      <c r="W70" s="22"/>
      <c r="X70" s="52"/>
    </row>
    <row r="71" spans="1:24" ht="14.25" customHeight="1">
      <c r="A71" s="97"/>
      <c r="B71" s="107"/>
      <c r="C71" s="95"/>
      <c r="D71" s="95"/>
      <c r="E71" s="108"/>
      <c r="F71" s="128"/>
      <c r="G71" s="17"/>
      <c r="H71" s="35"/>
      <c r="I71" s="17"/>
      <c r="J71" s="35"/>
      <c r="K71" s="17"/>
      <c r="L71" s="35"/>
      <c r="M71" s="17"/>
      <c r="N71" s="19"/>
      <c r="O71" s="18"/>
      <c r="P71" s="18"/>
      <c r="Q71" s="23"/>
      <c r="R71" s="29"/>
      <c r="S71" s="17"/>
      <c r="T71" s="52"/>
      <c r="U71" s="22"/>
      <c r="V71" s="22"/>
      <c r="W71" s="39"/>
      <c r="X71" s="52"/>
    </row>
    <row r="72" spans="1:24" ht="14.25" customHeight="1">
      <c r="A72" s="97"/>
      <c r="B72" s="73"/>
      <c r="C72" s="20"/>
      <c r="D72" s="20"/>
      <c r="E72" s="20"/>
      <c r="F72" s="126"/>
      <c r="G72" s="22"/>
      <c r="H72" s="35"/>
      <c r="I72" s="18"/>
      <c r="J72" s="35"/>
      <c r="K72" s="18"/>
      <c r="L72" s="35"/>
      <c r="M72" s="18"/>
      <c r="N72" s="19"/>
      <c r="O72" s="18"/>
      <c r="P72" s="18"/>
      <c r="Q72" s="110"/>
      <c r="R72" s="29"/>
      <c r="S72" s="22"/>
      <c r="T72" s="52"/>
      <c r="U72" s="22"/>
      <c r="V72" s="22"/>
      <c r="W72" s="39"/>
      <c r="X72" s="52"/>
    </row>
    <row r="73" spans="1:24" ht="14.25" customHeight="1">
      <c r="A73" s="97"/>
      <c r="B73" s="73"/>
      <c r="C73" s="98"/>
      <c r="D73" s="95"/>
      <c r="E73" s="99"/>
      <c r="F73" s="127"/>
      <c r="G73" s="102"/>
      <c r="H73" s="35"/>
      <c r="I73" s="101"/>
      <c r="J73" s="35"/>
      <c r="K73" s="101"/>
      <c r="L73" s="35"/>
      <c r="M73" s="101"/>
      <c r="N73" s="19"/>
      <c r="O73" s="122"/>
      <c r="P73" s="19"/>
      <c r="Q73" s="104"/>
      <c r="R73" s="29"/>
      <c r="S73" s="56"/>
      <c r="T73" s="52"/>
      <c r="U73" s="22"/>
      <c r="V73" s="55"/>
      <c r="W73" s="57"/>
      <c r="X73" s="52"/>
    </row>
    <row r="74" spans="1:24" ht="12.75" customHeight="1">
      <c r="A74" s="97"/>
      <c r="B74" s="73"/>
      <c r="C74" s="20"/>
      <c r="D74" s="20"/>
      <c r="E74" s="105"/>
      <c r="F74" s="126"/>
      <c r="G74" s="106"/>
      <c r="H74" s="35"/>
      <c r="I74" s="106"/>
      <c r="J74" s="35"/>
      <c r="K74" s="18"/>
      <c r="L74" s="35"/>
      <c r="M74" s="18"/>
      <c r="N74" s="19"/>
      <c r="O74" s="18"/>
      <c r="P74" s="18"/>
      <c r="Q74" s="18"/>
      <c r="R74" s="29"/>
      <c r="S74" s="22"/>
      <c r="T74" s="52"/>
      <c r="U74" s="22"/>
      <c r="V74" s="22"/>
      <c r="W74" s="22"/>
      <c r="X74" s="52"/>
    </row>
    <row r="75" spans="1:24" ht="14.25" customHeight="1">
      <c r="A75" s="97"/>
      <c r="B75" s="111"/>
      <c r="C75" s="95"/>
      <c r="D75" s="95"/>
      <c r="E75" s="108"/>
      <c r="F75" s="128"/>
      <c r="G75" s="17"/>
      <c r="H75" s="35"/>
      <c r="I75" s="17"/>
      <c r="J75" s="35"/>
      <c r="K75" s="17"/>
      <c r="L75" s="35"/>
      <c r="M75" s="17"/>
      <c r="N75" s="19"/>
      <c r="O75" s="18"/>
      <c r="P75" s="18"/>
      <c r="Q75" s="23"/>
      <c r="R75" s="29"/>
      <c r="S75" s="17"/>
      <c r="T75" s="52"/>
      <c r="U75" s="22"/>
      <c r="V75" s="22"/>
      <c r="W75" s="39"/>
      <c r="X75" s="52"/>
    </row>
    <row r="76" spans="1:24" ht="14.25" customHeight="1">
      <c r="A76" s="97"/>
      <c r="B76" s="73"/>
      <c r="C76" s="20"/>
      <c r="D76" s="20"/>
      <c r="E76" s="20"/>
      <c r="F76" s="126"/>
      <c r="G76" s="22"/>
      <c r="H76" s="35"/>
      <c r="I76" s="18"/>
      <c r="J76" s="35"/>
      <c r="K76" s="18"/>
      <c r="L76" s="35"/>
      <c r="M76" s="18"/>
      <c r="N76" s="19"/>
      <c r="O76" s="18"/>
      <c r="P76" s="18"/>
      <c r="Q76" s="110"/>
      <c r="R76" s="29"/>
      <c r="S76" s="22"/>
      <c r="T76" s="52"/>
      <c r="U76" s="22"/>
      <c r="V76" s="22"/>
      <c r="W76" s="39"/>
      <c r="X76" s="52"/>
    </row>
    <row r="77" spans="1:24" ht="14.25" customHeight="1">
      <c r="A77" s="97"/>
      <c r="B77" s="73"/>
      <c r="C77" s="98"/>
      <c r="D77" s="95"/>
      <c r="E77" s="99"/>
      <c r="F77" s="127"/>
      <c r="G77" s="102"/>
      <c r="H77" s="35"/>
      <c r="I77" s="101"/>
      <c r="J77" s="35"/>
      <c r="K77" s="101"/>
      <c r="L77" s="35"/>
      <c r="M77" s="101"/>
      <c r="N77" s="19"/>
      <c r="O77" s="122"/>
      <c r="P77" s="19"/>
      <c r="Q77" s="104"/>
      <c r="R77" s="29"/>
      <c r="S77" s="56"/>
      <c r="T77" s="52"/>
      <c r="U77" s="22"/>
      <c r="V77" s="55"/>
      <c r="W77" s="57"/>
      <c r="X77" s="52"/>
    </row>
    <row r="78" spans="1:24" ht="12.75" customHeight="1">
      <c r="A78" s="97"/>
      <c r="B78" s="73"/>
      <c r="C78" s="20"/>
      <c r="D78" s="20"/>
      <c r="E78" s="105"/>
      <c r="F78" s="126"/>
      <c r="G78" s="106"/>
      <c r="H78" s="35"/>
      <c r="I78" s="106"/>
      <c r="J78" s="35"/>
      <c r="K78" s="18"/>
      <c r="L78" s="35"/>
      <c r="M78" s="18"/>
      <c r="N78" s="19"/>
      <c r="O78" s="18"/>
      <c r="P78" s="18"/>
      <c r="Q78" s="18"/>
      <c r="R78" s="29"/>
      <c r="S78" s="22"/>
      <c r="T78" s="52"/>
      <c r="U78" s="22"/>
      <c r="V78" s="22"/>
      <c r="W78" s="22"/>
      <c r="X78" s="52"/>
    </row>
    <row r="79" spans="1:24" ht="14.25" customHeight="1">
      <c r="A79" s="97"/>
      <c r="B79" s="112"/>
      <c r="C79" s="95"/>
      <c r="D79" s="95"/>
      <c r="E79" s="108"/>
      <c r="F79" s="128"/>
      <c r="G79" s="17"/>
      <c r="H79" s="35"/>
      <c r="I79" s="17"/>
      <c r="J79" s="35"/>
      <c r="K79" s="17"/>
      <c r="L79" s="35"/>
      <c r="M79" s="17"/>
      <c r="N79" s="19"/>
      <c r="O79" s="18"/>
      <c r="P79" s="18"/>
      <c r="Q79" s="23"/>
      <c r="R79" s="29"/>
      <c r="S79" s="17"/>
      <c r="T79" s="52"/>
      <c r="U79" s="22"/>
      <c r="V79" s="22"/>
      <c r="W79" s="39"/>
      <c r="X79" s="52"/>
    </row>
    <row r="80" spans="1:24" ht="14.25" customHeight="1">
      <c r="A80" s="97"/>
      <c r="B80" s="73"/>
      <c r="C80" s="20"/>
      <c r="D80" s="20"/>
      <c r="E80" s="20"/>
      <c r="F80" s="126"/>
      <c r="G80" s="22"/>
      <c r="H80" s="35"/>
      <c r="I80" s="18"/>
      <c r="J80" s="35"/>
      <c r="K80" s="18"/>
      <c r="L80" s="35"/>
      <c r="M80" s="18"/>
      <c r="N80" s="19"/>
      <c r="O80" s="18"/>
      <c r="P80" s="18"/>
      <c r="Q80" s="110"/>
      <c r="R80" s="29"/>
      <c r="S80" s="22"/>
      <c r="T80" s="52"/>
      <c r="U80" s="22"/>
      <c r="V80" s="22"/>
      <c r="W80" s="39"/>
      <c r="X80" s="52"/>
    </row>
    <row r="81" spans="1:24" ht="14.25" customHeight="1">
      <c r="A81" s="97"/>
      <c r="B81" s="73"/>
      <c r="C81" s="98"/>
      <c r="D81" s="95"/>
      <c r="E81" s="99"/>
      <c r="F81" s="127"/>
      <c r="G81" s="102"/>
      <c r="H81" s="35"/>
      <c r="I81" s="101"/>
      <c r="J81" s="35"/>
      <c r="K81" s="101"/>
      <c r="L81" s="35"/>
      <c r="M81" s="101"/>
      <c r="N81" s="19"/>
      <c r="O81" s="122"/>
      <c r="P81" s="19"/>
      <c r="Q81" s="104"/>
      <c r="R81" s="29"/>
      <c r="S81" s="56"/>
      <c r="T81" s="52"/>
      <c r="U81" s="22"/>
      <c r="V81" s="55"/>
      <c r="W81" s="57"/>
      <c r="X81" s="52"/>
    </row>
    <row r="82" spans="1:24" ht="12.75" customHeight="1">
      <c r="A82" s="97"/>
      <c r="B82" s="73"/>
      <c r="C82" s="20"/>
      <c r="D82" s="20"/>
      <c r="E82" s="105"/>
      <c r="F82" s="126"/>
      <c r="G82" s="106"/>
      <c r="H82" s="35"/>
      <c r="I82" s="106"/>
      <c r="J82" s="35"/>
      <c r="K82" s="18"/>
      <c r="L82" s="35"/>
      <c r="M82" s="18"/>
      <c r="N82" s="19"/>
      <c r="O82" s="18"/>
      <c r="P82" s="18"/>
      <c r="Q82" s="18"/>
      <c r="R82" s="29"/>
      <c r="S82" s="22"/>
      <c r="T82" s="52"/>
      <c r="U82" s="22"/>
      <c r="V82" s="22"/>
      <c r="W82" s="22"/>
      <c r="X82" s="52"/>
    </row>
    <row r="83" spans="1:24" ht="14.25" customHeight="1">
      <c r="A83" s="97"/>
      <c r="B83" s="81"/>
      <c r="C83" s="95"/>
      <c r="D83" s="95"/>
      <c r="E83" s="108"/>
      <c r="F83" s="128"/>
      <c r="G83" s="17"/>
      <c r="H83" s="35"/>
      <c r="I83" s="17"/>
      <c r="J83" s="35"/>
      <c r="K83" s="17"/>
      <c r="L83" s="35"/>
      <c r="M83" s="17"/>
      <c r="N83" s="19"/>
      <c r="O83" s="18"/>
      <c r="P83" s="18"/>
      <c r="Q83" s="23"/>
      <c r="R83" s="29"/>
      <c r="S83" s="17"/>
      <c r="T83" s="52"/>
      <c r="U83" s="22"/>
      <c r="V83" s="22"/>
      <c r="W83" s="39"/>
      <c r="X83" s="52"/>
    </row>
    <row r="84" spans="1:24" ht="14.25" customHeight="1">
      <c r="A84" s="97"/>
      <c r="B84" s="73"/>
      <c r="C84" s="20"/>
      <c r="D84" s="20"/>
      <c r="E84" s="20"/>
      <c r="F84" s="126"/>
      <c r="G84" s="22"/>
      <c r="H84" s="35"/>
      <c r="I84" s="18"/>
      <c r="J84" s="35"/>
      <c r="K84" s="18"/>
      <c r="L84" s="35"/>
      <c r="M84" s="18"/>
      <c r="N84" s="19"/>
      <c r="O84" s="18"/>
      <c r="P84" s="18"/>
      <c r="Q84" s="110"/>
      <c r="R84" s="29"/>
      <c r="S84" s="22"/>
      <c r="T84" s="52"/>
      <c r="U84" s="22"/>
      <c r="V84" s="22"/>
      <c r="W84" s="39"/>
      <c r="X84" s="52"/>
    </row>
    <row r="85" spans="1:24" ht="14.25" customHeight="1">
      <c r="A85" s="97"/>
      <c r="B85" s="73"/>
      <c r="C85" s="98"/>
      <c r="D85" s="95"/>
      <c r="E85" s="99"/>
      <c r="F85" s="127"/>
      <c r="G85" s="102"/>
      <c r="H85" s="35"/>
      <c r="I85" s="101"/>
      <c r="J85" s="35"/>
      <c r="K85" s="101"/>
      <c r="L85" s="35"/>
      <c r="M85" s="101"/>
      <c r="N85" s="19"/>
      <c r="O85" s="122"/>
      <c r="P85" s="19"/>
      <c r="Q85" s="104"/>
      <c r="R85" s="29"/>
      <c r="S85" s="56"/>
      <c r="T85" s="52"/>
      <c r="U85" s="22"/>
      <c r="V85" s="55"/>
      <c r="W85" s="57"/>
      <c r="X85" s="52"/>
    </row>
    <row r="86" spans="1:24" ht="12.75" customHeight="1">
      <c r="A86" s="97"/>
      <c r="B86" s="73"/>
      <c r="C86" s="20"/>
      <c r="D86" s="20"/>
      <c r="E86" s="105"/>
      <c r="F86" s="126"/>
      <c r="G86" s="106"/>
      <c r="H86" s="35"/>
      <c r="I86" s="106"/>
      <c r="J86" s="35"/>
      <c r="K86" s="18"/>
      <c r="L86" s="35"/>
      <c r="M86" s="18"/>
      <c r="N86" s="19"/>
      <c r="O86" s="18"/>
      <c r="P86" s="18"/>
      <c r="Q86" s="18"/>
      <c r="R86" s="29"/>
      <c r="S86" s="22"/>
      <c r="T86" s="52"/>
      <c r="U86" s="22"/>
      <c r="V86" s="22"/>
      <c r="W86" s="22"/>
      <c r="X86" s="52"/>
    </row>
    <row r="87" spans="1:24" ht="14.25" customHeight="1">
      <c r="A87" s="97"/>
      <c r="B87" s="81"/>
      <c r="C87" s="95"/>
      <c r="D87" s="95"/>
      <c r="E87" s="108"/>
      <c r="F87" s="128"/>
      <c r="G87" s="17"/>
      <c r="H87" s="35"/>
      <c r="I87" s="17"/>
      <c r="J87" s="35"/>
      <c r="K87" s="17"/>
      <c r="L87" s="35"/>
      <c r="M87" s="17"/>
      <c r="N87" s="19"/>
      <c r="O87" s="18"/>
      <c r="P87" s="18"/>
      <c r="Q87" s="23"/>
      <c r="R87" s="29"/>
      <c r="S87" s="17"/>
      <c r="T87" s="52"/>
      <c r="U87" s="22"/>
      <c r="V87" s="22"/>
      <c r="W87" s="39"/>
      <c r="X87" s="52"/>
    </row>
    <row r="88" spans="1:24" ht="14.25" customHeight="1">
      <c r="A88" s="97"/>
      <c r="B88" s="73"/>
      <c r="C88" s="20"/>
      <c r="D88" s="20"/>
      <c r="E88" s="20"/>
      <c r="F88" s="126"/>
      <c r="G88" s="22"/>
      <c r="H88" s="35"/>
      <c r="I88" s="18"/>
      <c r="J88" s="35"/>
      <c r="K88" s="18"/>
      <c r="L88" s="35"/>
      <c r="M88" s="18"/>
      <c r="N88" s="19"/>
      <c r="O88" s="18"/>
      <c r="P88" s="18"/>
      <c r="Q88" s="110"/>
      <c r="R88" s="29"/>
      <c r="S88" s="22"/>
      <c r="T88" s="52"/>
      <c r="U88" s="22"/>
      <c r="V88" s="22"/>
      <c r="W88" s="39"/>
      <c r="X88" s="52"/>
    </row>
    <row r="89" spans="1:24" ht="14.25" customHeight="1">
      <c r="A89" s="97"/>
      <c r="B89" s="73"/>
      <c r="C89" s="98"/>
      <c r="D89" s="95"/>
      <c r="E89" s="99"/>
      <c r="F89" s="127"/>
      <c r="G89" s="102"/>
      <c r="H89" s="35"/>
      <c r="I89" s="101"/>
      <c r="J89" s="35"/>
      <c r="K89" s="101"/>
      <c r="L89" s="35"/>
      <c r="M89" s="101"/>
      <c r="N89" s="19"/>
      <c r="O89" s="122"/>
      <c r="P89" s="19"/>
      <c r="Q89" s="104"/>
      <c r="R89" s="29"/>
      <c r="S89" s="56"/>
      <c r="T89" s="52"/>
      <c r="U89" s="22"/>
      <c r="V89" s="55"/>
      <c r="W89" s="57"/>
      <c r="X89" s="52"/>
    </row>
    <row r="90" spans="1:24" ht="12.75" customHeight="1">
      <c r="A90" s="97"/>
      <c r="B90" s="73"/>
      <c r="C90" s="20"/>
      <c r="D90" s="20"/>
      <c r="E90" s="105"/>
      <c r="F90" s="126"/>
      <c r="G90" s="106"/>
      <c r="H90" s="35"/>
      <c r="I90" s="106"/>
      <c r="J90" s="35"/>
      <c r="K90" s="18"/>
      <c r="L90" s="35"/>
      <c r="M90" s="18"/>
      <c r="N90" s="19"/>
      <c r="O90" s="18"/>
      <c r="P90" s="18"/>
      <c r="Q90" s="18"/>
      <c r="R90" s="29"/>
      <c r="S90" s="22"/>
      <c r="T90" s="52"/>
      <c r="U90" s="22"/>
      <c r="V90" s="22"/>
      <c r="W90" s="22"/>
      <c r="X90" s="52"/>
    </row>
    <row r="91" spans="1:24" ht="14.25" customHeight="1">
      <c r="A91" s="97"/>
      <c r="B91" s="81"/>
      <c r="C91" s="95"/>
      <c r="D91" s="95"/>
      <c r="E91" s="108"/>
      <c r="F91" s="128"/>
      <c r="G91" s="17"/>
      <c r="H91" s="35"/>
      <c r="I91" s="17"/>
      <c r="J91" s="35"/>
      <c r="K91" s="17"/>
      <c r="L91" s="35"/>
      <c r="M91" s="17"/>
      <c r="N91" s="19"/>
      <c r="O91" s="18"/>
      <c r="P91" s="18"/>
      <c r="Q91" s="23"/>
      <c r="R91" s="29"/>
      <c r="S91" s="17"/>
      <c r="T91" s="52"/>
      <c r="U91" s="22"/>
      <c r="V91" s="22"/>
      <c r="W91" s="39"/>
      <c r="X91" s="52"/>
    </row>
    <row r="92" spans="1:24" ht="14.25" customHeight="1">
      <c r="A92" s="97"/>
      <c r="B92" s="81"/>
      <c r="C92" s="20"/>
      <c r="D92" s="20"/>
      <c r="E92" s="20"/>
      <c r="F92" s="126"/>
      <c r="G92" s="22"/>
      <c r="H92" s="35"/>
      <c r="I92" s="18"/>
      <c r="J92" s="35"/>
      <c r="K92" s="18"/>
      <c r="L92" s="35"/>
      <c r="M92" s="18"/>
      <c r="N92" s="19"/>
      <c r="O92" s="18"/>
      <c r="P92" s="18"/>
      <c r="Q92" s="110"/>
      <c r="R92" s="29"/>
      <c r="S92" s="22"/>
      <c r="T92" s="52"/>
      <c r="U92" s="22"/>
      <c r="V92" s="22"/>
      <c r="W92" s="39"/>
      <c r="X92" s="52"/>
    </row>
    <row r="93" spans="1:24" ht="14.25" customHeight="1">
      <c r="A93" s="97"/>
      <c r="B93" s="81"/>
      <c r="C93" s="98"/>
      <c r="D93" s="95"/>
      <c r="E93" s="99"/>
      <c r="F93" s="127"/>
      <c r="G93" s="102"/>
      <c r="H93" s="35"/>
      <c r="I93" s="101"/>
      <c r="J93" s="35"/>
      <c r="K93" s="101"/>
      <c r="L93" s="35"/>
      <c r="M93" s="101"/>
      <c r="N93" s="19"/>
      <c r="O93" s="122"/>
      <c r="P93" s="19"/>
      <c r="Q93" s="104"/>
      <c r="R93" s="29"/>
      <c r="S93" s="56"/>
      <c r="T93" s="52"/>
      <c r="U93" s="22"/>
      <c r="V93" s="55"/>
      <c r="W93" s="57"/>
      <c r="X93" s="52"/>
    </row>
    <row r="94" spans="1:24" ht="12.75" customHeight="1">
      <c r="A94" s="97"/>
      <c r="B94" s="81"/>
      <c r="C94" s="20"/>
      <c r="D94" s="20"/>
      <c r="E94" s="105"/>
      <c r="F94" s="126"/>
      <c r="G94" s="106"/>
      <c r="H94" s="35"/>
      <c r="I94" s="106"/>
      <c r="J94" s="35"/>
      <c r="K94" s="18"/>
      <c r="L94" s="35"/>
      <c r="M94" s="18"/>
      <c r="N94" s="19"/>
      <c r="O94" s="18"/>
      <c r="P94" s="18"/>
      <c r="Q94" s="18"/>
      <c r="R94" s="29"/>
      <c r="S94" s="22"/>
      <c r="T94" s="52"/>
      <c r="U94" s="22"/>
      <c r="V94" s="22"/>
      <c r="W94" s="22"/>
      <c r="X94" s="52"/>
    </row>
    <row r="95" spans="1:24" ht="14.25" customHeight="1">
      <c r="A95" s="97"/>
      <c r="B95" s="81"/>
      <c r="C95" s="95"/>
      <c r="D95" s="95"/>
      <c r="E95" s="108"/>
      <c r="F95" s="128"/>
      <c r="G95" s="17"/>
      <c r="H95" s="35"/>
      <c r="I95" s="17"/>
      <c r="J95" s="35"/>
      <c r="K95" s="17"/>
      <c r="L95" s="35"/>
      <c r="M95" s="17"/>
      <c r="N95" s="19"/>
      <c r="O95" s="18"/>
      <c r="P95" s="18"/>
      <c r="Q95" s="23"/>
      <c r="R95" s="29"/>
      <c r="S95" s="17"/>
      <c r="T95" s="52"/>
      <c r="U95" s="22"/>
      <c r="V95" s="22"/>
      <c r="W95" s="39"/>
      <c r="X95" s="52"/>
    </row>
    <row r="96" spans="1:24" ht="14.25" customHeight="1">
      <c r="A96" s="97"/>
      <c r="B96" s="73"/>
      <c r="C96" s="20"/>
      <c r="D96" s="20"/>
      <c r="E96" s="38"/>
      <c r="F96" s="126"/>
      <c r="G96" s="22"/>
      <c r="H96" s="35"/>
      <c r="I96" s="18"/>
      <c r="J96" s="35"/>
      <c r="K96" s="18"/>
      <c r="L96" s="35"/>
      <c r="M96" s="18"/>
      <c r="N96" s="19"/>
      <c r="O96" s="18"/>
      <c r="P96" s="18"/>
      <c r="Q96" s="110"/>
      <c r="R96" s="29"/>
      <c r="S96" s="22"/>
      <c r="T96" s="52"/>
      <c r="U96" s="22"/>
      <c r="V96" s="22"/>
      <c r="W96" s="39"/>
      <c r="X96" s="52"/>
    </row>
    <row r="97" spans="1:23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1:23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</sheetData>
  <sheetProtection selectLockedCells="1"/>
  <printOptions/>
  <pageMargins left="0.2755905511811024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00"/>
  <sheetViews>
    <sheetView zoomScale="140" zoomScaleNormal="140" workbookViewId="0" topLeftCell="A4">
      <selection activeCell="X12" sqref="X12"/>
    </sheetView>
  </sheetViews>
  <sheetFormatPr defaultColWidth="9.140625" defaultRowHeight="12.75"/>
  <cols>
    <col min="1" max="2" width="7.7109375" style="0" customWidth="1"/>
    <col min="3" max="3" width="4.7109375" style="0" customWidth="1"/>
    <col min="4" max="4" width="21.7109375" style="0" customWidth="1"/>
    <col min="5" max="5" width="12.28125" style="0" customWidth="1"/>
    <col min="6" max="6" width="0.85546875" style="0" customWidth="1"/>
    <col min="7" max="7" width="7.7109375" style="0" customWidth="1"/>
    <col min="8" max="8" width="0.85546875" style="0" customWidth="1"/>
    <col min="9" max="9" width="7.7109375" style="0" customWidth="1"/>
    <col min="10" max="10" width="0.85546875" style="0" customWidth="1"/>
    <col min="11" max="11" width="7.7109375" style="0" customWidth="1"/>
    <col min="12" max="12" width="0.85546875" style="0" customWidth="1"/>
    <col min="13" max="13" width="7.7109375" style="0" customWidth="1"/>
    <col min="14" max="14" width="0.85546875" style="0" customWidth="1"/>
    <col min="15" max="15" width="2.57421875" style="0" customWidth="1"/>
    <col min="16" max="16" width="0.85546875" style="0" customWidth="1"/>
    <col min="17" max="17" width="5.421875" style="0" customWidth="1"/>
    <col min="18" max="18" width="0.85546875" style="0" customWidth="1"/>
    <col min="19" max="19" width="7.7109375" style="0" customWidth="1"/>
    <col min="20" max="20" width="0.85546875" style="0" customWidth="1"/>
    <col min="21" max="21" width="2.57421875" style="0" customWidth="1"/>
    <col min="22" max="22" width="0.85546875" style="0" customWidth="1"/>
    <col min="23" max="23" width="5.421875" style="0" customWidth="1"/>
    <col min="24" max="24" width="0.85546875" style="0" customWidth="1"/>
    <col min="26" max="26" width="0.85546875" style="0" customWidth="1"/>
  </cols>
  <sheetData>
    <row r="1" spans="1:2" ht="15.75">
      <c r="A1" s="1" t="s">
        <v>105</v>
      </c>
      <c r="B1" s="1"/>
    </row>
    <row r="2" spans="1:2" ht="15.75">
      <c r="A2" s="1" t="s">
        <v>31</v>
      </c>
      <c r="B2" s="1"/>
    </row>
    <row r="3" spans="1:2" ht="15.75">
      <c r="A3" s="1" t="s">
        <v>120</v>
      </c>
      <c r="B3" s="1"/>
    </row>
    <row r="5" spans="5:9" ht="12.75">
      <c r="E5" s="148" t="s">
        <v>72</v>
      </c>
      <c r="G5" s="147">
        <v>2611</v>
      </c>
      <c r="I5" s="59" t="s">
        <v>554</v>
      </c>
    </row>
    <row r="6" spans="1:2" ht="15.75">
      <c r="A6" s="6" t="s">
        <v>47</v>
      </c>
      <c r="B6" s="6"/>
    </row>
    <row r="7" spans="1:24" ht="12.75">
      <c r="A7" s="41" t="s">
        <v>29</v>
      </c>
      <c r="B7" s="41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5:24" ht="12.75">
      <c r="E8" s="16"/>
      <c r="F8" s="16"/>
      <c r="G8" s="13" t="s">
        <v>14</v>
      </c>
      <c r="H8" s="42"/>
      <c r="I8" s="13" t="s">
        <v>17</v>
      </c>
      <c r="J8" s="13"/>
      <c r="K8" s="13" t="s">
        <v>50</v>
      </c>
      <c r="L8" s="42"/>
      <c r="M8" s="13" t="s">
        <v>4</v>
      </c>
      <c r="N8" s="13"/>
      <c r="O8" s="13"/>
      <c r="P8" s="13"/>
      <c r="Q8" s="13" t="s">
        <v>15</v>
      </c>
      <c r="R8" s="13"/>
      <c r="S8" s="42"/>
      <c r="T8" s="42"/>
      <c r="U8" s="42"/>
      <c r="V8" s="42"/>
      <c r="W8" s="43"/>
      <c r="X8" s="16"/>
    </row>
    <row r="9" spans="1:24" ht="14.25" customHeight="1">
      <c r="A9" s="13" t="s">
        <v>48</v>
      </c>
      <c r="B9" s="58"/>
      <c r="C9" s="62" t="s">
        <v>21</v>
      </c>
      <c r="D9" s="11" t="s">
        <v>9</v>
      </c>
      <c r="E9" s="60" t="s">
        <v>20</v>
      </c>
      <c r="F9" s="16"/>
      <c r="G9" s="21" t="s">
        <v>23</v>
      </c>
      <c r="H9" s="45"/>
      <c r="I9" s="21" t="s">
        <v>23</v>
      </c>
      <c r="J9" s="12"/>
      <c r="K9" s="21" t="s">
        <v>22</v>
      </c>
      <c r="L9" s="45"/>
      <c r="M9" s="21" t="s">
        <v>23</v>
      </c>
      <c r="N9" s="12"/>
      <c r="O9" s="12"/>
      <c r="P9" s="12"/>
      <c r="Q9" s="21" t="s">
        <v>22</v>
      </c>
      <c r="R9" s="12"/>
      <c r="S9" s="44"/>
      <c r="T9" s="45"/>
      <c r="U9" s="45"/>
      <c r="V9" s="45"/>
      <c r="W9" s="44"/>
      <c r="X9" s="16"/>
    </row>
    <row r="10" spans="1:24" ht="12.75">
      <c r="A10" s="13" t="s">
        <v>2</v>
      </c>
      <c r="B10" s="58"/>
      <c r="E10" s="10"/>
      <c r="F10" s="46"/>
      <c r="G10" s="14"/>
      <c r="H10" s="48"/>
      <c r="I10" s="14" t="s">
        <v>11</v>
      </c>
      <c r="J10" s="7"/>
      <c r="K10" s="14" t="s">
        <v>11</v>
      </c>
      <c r="L10" s="48"/>
      <c r="M10" s="14"/>
      <c r="N10" s="7"/>
      <c r="O10" s="7"/>
      <c r="P10" s="7"/>
      <c r="Q10" s="14"/>
      <c r="R10" s="7"/>
      <c r="S10" s="47"/>
      <c r="T10" s="48"/>
      <c r="U10" s="48"/>
      <c r="V10" s="48"/>
      <c r="W10" s="47"/>
      <c r="X10" s="16"/>
    </row>
    <row r="11" spans="3:24" ht="14.25" customHeight="1">
      <c r="C11" s="11" t="s">
        <v>10</v>
      </c>
      <c r="E11" s="61" t="s">
        <v>19</v>
      </c>
      <c r="F11" s="48"/>
      <c r="G11" s="14" t="s">
        <v>12</v>
      </c>
      <c r="H11" s="48"/>
      <c r="I11" s="14" t="s">
        <v>12</v>
      </c>
      <c r="J11" s="7"/>
      <c r="K11" s="14" t="s">
        <v>12</v>
      </c>
      <c r="L11" s="48"/>
      <c r="M11" s="14" t="s">
        <v>12</v>
      </c>
      <c r="N11" s="7"/>
      <c r="O11" s="7"/>
      <c r="P11" s="7"/>
      <c r="Q11" s="14" t="s">
        <v>12</v>
      </c>
      <c r="R11" s="7"/>
      <c r="S11" s="47"/>
      <c r="T11" s="48"/>
      <c r="U11" s="48"/>
      <c r="V11" s="48"/>
      <c r="W11" s="47"/>
      <c r="X11" s="16"/>
    </row>
    <row r="12" spans="1:24" ht="12.75">
      <c r="A12" s="8"/>
      <c r="B12" s="8"/>
      <c r="C12" s="8"/>
      <c r="D12" s="8"/>
      <c r="E12" s="8"/>
      <c r="F12" s="49"/>
      <c r="G12" s="15" t="s">
        <v>13</v>
      </c>
      <c r="H12" s="50"/>
      <c r="I12" s="15" t="s">
        <v>13</v>
      </c>
      <c r="J12" s="9"/>
      <c r="K12" s="15" t="s">
        <v>13</v>
      </c>
      <c r="L12" s="50"/>
      <c r="M12" s="15" t="s">
        <v>13</v>
      </c>
      <c r="N12" s="9"/>
      <c r="O12" s="9"/>
      <c r="P12" s="9"/>
      <c r="Q12" s="15" t="s">
        <v>13</v>
      </c>
      <c r="R12" s="9"/>
      <c r="S12" s="22"/>
      <c r="T12" s="55"/>
      <c r="U12" s="55"/>
      <c r="V12" s="55"/>
      <c r="W12" s="22"/>
      <c r="X12" s="16"/>
    </row>
    <row r="13" spans="1:24" ht="14.25" customHeight="1">
      <c r="A13" s="31"/>
      <c r="B13" s="73"/>
      <c r="C13" s="181">
        <v>809</v>
      </c>
      <c r="D13" s="130" t="s">
        <v>255</v>
      </c>
      <c r="E13" s="142" t="s">
        <v>357</v>
      </c>
      <c r="F13" s="46">
        <v>5</v>
      </c>
      <c r="G13" s="83">
        <v>6.59</v>
      </c>
      <c r="H13" s="34">
        <f>G15</f>
        <v>324</v>
      </c>
      <c r="I13" s="83">
        <v>4.05</v>
      </c>
      <c r="J13" s="34">
        <f>G16+I15</f>
        <v>691</v>
      </c>
      <c r="K13" s="82">
        <v>31.7</v>
      </c>
      <c r="L13" s="34">
        <f>I16+K15</f>
        <v>1106</v>
      </c>
      <c r="M13" s="83">
        <v>22.36</v>
      </c>
      <c r="N13" s="27">
        <f>K16+M15</f>
        <v>1465</v>
      </c>
      <c r="O13" s="84">
        <v>2</v>
      </c>
      <c r="P13" s="7" t="s">
        <v>25</v>
      </c>
      <c r="Q13" s="184" t="s">
        <v>351</v>
      </c>
      <c r="R13" s="28">
        <f>M16+Q15</f>
        <v>2065</v>
      </c>
      <c r="S13" s="56"/>
      <c r="T13" s="52"/>
      <c r="U13" s="22"/>
      <c r="V13" s="55"/>
      <c r="W13" s="57"/>
      <c r="X13" s="52"/>
    </row>
    <row r="14" spans="1:24" ht="12.75" customHeight="1">
      <c r="A14" s="32">
        <v>1</v>
      </c>
      <c r="B14" s="73"/>
      <c r="D14" s="43" t="s">
        <v>82</v>
      </c>
      <c r="E14" s="10"/>
      <c r="F14" s="51">
        <v>6</v>
      </c>
      <c r="G14" s="14"/>
      <c r="H14" s="35">
        <f>G15</f>
        <v>324</v>
      </c>
      <c r="I14" s="85"/>
      <c r="J14" s="35">
        <f>G16+I15</f>
        <v>691</v>
      </c>
      <c r="K14" s="85"/>
      <c r="L14" s="35">
        <f>I16+K15</f>
        <v>1106</v>
      </c>
      <c r="M14" s="14"/>
      <c r="N14" s="19">
        <f>K16+M15</f>
        <v>1465</v>
      </c>
      <c r="O14" s="14"/>
      <c r="P14" s="14"/>
      <c r="Q14" s="14"/>
      <c r="R14" s="29">
        <f>M16+Q15</f>
        <v>2065</v>
      </c>
      <c r="S14" s="22"/>
      <c r="T14" s="52"/>
      <c r="U14" s="22"/>
      <c r="V14" s="22"/>
      <c r="W14" s="22"/>
      <c r="X14" s="52"/>
    </row>
    <row r="15" spans="1:24" ht="14.25" customHeight="1">
      <c r="A15" s="32"/>
      <c r="B15" s="77"/>
      <c r="C15" s="11" t="s">
        <v>256</v>
      </c>
      <c r="D15" s="11"/>
      <c r="E15" s="25">
        <f>R16</f>
        <v>2065</v>
      </c>
      <c r="F15" s="51">
        <v>7</v>
      </c>
      <c r="G15" s="17">
        <f>ROUNDDOWN(56.0211*((G13*1.0368)-1.5)^1.05,0)</f>
        <v>324</v>
      </c>
      <c r="H15" s="35">
        <f>G15</f>
        <v>324</v>
      </c>
      <c r="I15" s="17">
        <f>ROUNDDOWN(0.188807*(100*(I13*1.05)-210)^1.41,0)</f>
        <v>367</v>
      </c>
      <c r="J15" s="35">
        <f>G16+I15</f>
        <v>691</v>
      </c>
      <c r="K15" s="39">
        <f>IF(K13=0,0,TRUNC(4.99087*((42.26-(K13*0.9702))^1.81)))</f>
        <v>415</v>
      </c>
      <c r="L15" s="35">
        <f>I16+K15</f>
        <v>1106</v>
      </c>
      <c r="M15" s="17">
        <f>ROUNDDOWN(15.9803*((M13*1.0621)-3.8)^1.04,0)</f>
        <v>359</v>
      </c>
      <c r="N15" s="19">
        <f>K16+M15</f>
        <v>1465</v>
      </c>
      <c r="O15" s="14"/>
      <c r="P15" s="14"/>
      <c r="Q15" s="23">
        <f>IF(O13+Q13=0,0,TRUNC(0.11193*((254-((O13*60+Q13)*0.9951))^1.88)))</f>
        <v>600</v>
      </c>
      <c r="R15" s="29">
        <f>M16+Q15</f>
        <v>2065</v>
      </c>
      <c r="S15" s="17"/>
      <c r="T15" s="52"/>
      <c r="U15" s="22"/>
      <c r="V15" s="22"/>
      <c r="W15" s="39"/>
      <c r="X15" s="52"/>
    </row>
    <row r="16" spans="1:24" ht="14.25" customHeight="1">
      <c r="A16" s="33"/>
      <c r="B16" s="76"/>
      <c r="C16" s="8"/>
      <c r="D16" s="8"/>
      <c r="E16" s="8"/>
      <c r="F16" s="46">
        <v>8</v>
      </c>
      <c r="G16" s="15">
        <f>E16+G15</f>
        <v>324</v>
      </c>
      <c r="H16" s="36">
        <f>G15</f>
        <v>324</v>
      </c>
      <c r="I16" s="24">
        <f>G16+I15</f>
        <v>691</v>
      </c>
      <c r="J16" s="35">
        <f>G16+I15</f>
        <v>691</v>
      </c>
      <c r="K16" s="24">
        <f>I16+K15</f>
        <v>1106</v>
      </c>
      <c r="L16" s="35">
        <f>I16+K15</f>
        <v>1106</v>
      </c>
      <c r="M16" s="15">
        <f>K16+M15</f>
        <v>1465</v>
      </c>
      <c r="N16" s="19">
        <f>K16+M15</f>
        <v>1465</v>
      </c>
      <c r="O16" s="15"/>
      <c r="P16" s="15"/>
      <c r="Q16" s="24">
        <f>M16+Q15</f>
        <v>2065</v>
      </c>
      <c r="R16" s="29">
        <f>M16+Q15</f>
        <v>2065</v>
      </c>
      <c r="S16" s="22"/>
      <c r="T16" s="52"/>
      <c r="U16" s="22"/>
      <c r="V16" s="22"/>
      <c r="W16" s="39"/>
      <c r="X16" s="52"/>
    </row>
    <row r="17" spans="1:24" ht="14.25" customHeight="1">
      <c r="A17" s="31"/>
      <c r="B17" s="73"/>
      <c r="C17" s="181">
        <v>810</v>
      </c>
      <c r="D17" s="130" t="s">
        <v>261</v>
      </c>
      <c r="E17" s="144" t="s">
        <v>358</v>
      </c>
      <c r="F17" s="51">
        <v>9</v>
      </c>
      <c r="G17" s="83">
        <v>5.23</v>
      </c>
      <c r="H17" s="34">
        <f>G19</f>
        <v>346</v>
      </c>
      <c r="I17" s="83">
        <v>3.17</v>
      </c>
      <c r="J17" s="34">
        <f>G20+I19</f>
        <v>712</v>
      </c>
      <c r="K17" s="82">
        <v>34.6</v>
      </c>
      <c r="L17" s="34">
        <f>I20+K19</f>
        <v>1279</v>
      </c>
      <c r="M17" s="83">
        <v>7.14</v>
      </c>
      <c r="N17" s="27">
        <f>K20+M19</f>
        <v>1391</v>
      </c>
      <c r="O17" s="84">
        <v>3</v>
      </c>
      <c r="P17" s="7" t="s">
        <v>25</v>
      </c>
      <c r="Q17" s="184" t="s">
        <v>353</v>
      </c>
      <c r="R17" s="28">
        <f>M20+Q19</f>
        <v>1939</v>
      </c>
      <c r="S17" s="56"/>
      <c r="T17" s="52"/>
      <c r="U17" s="22"/>
      <c r="V17" s="55"/>
      <c r="W17" s="57"/>
      <c r="X17" s="52"/>
    </row>
    <row r="18" spans="1:24" ht="12.75" customHeight="1">
      <c r="A18" s="32">
        <v>2</v>
      </c>
      <c r="B18" s="74"/>
      <c r="D18" s="90" t="s">
        <v>83</v>
      </c>
      <c r="E18" s="10"/>
      <c r="F18" s="51">
        <v>10</v>
      </c>
      <c r="G18" s="14"/>
      <c r="H18" s="35">
        <f>G19</f>
        <v>346</v>
      </c>
      <c r="I18" s="85"/>
      <c r="J18" s="35">
        <f>G20+I19</f>
        <v>712</v>
      </c>
      <c r="K18" s="85"/>
      <c r="L18" s="35">
        <f>I20+K19</f>
        <v>1279</v>
      </c>
      <c r="M18" s="14"/>
      <c r="N18" s="19">
        <f>K20+M19</f>
        <v>1391</v>
      </c>
      <c r="O18" s="14"/>
      <c r="P18" s="14"/>
      <c r="Q18" s="14"/>
      <c r="R18" s="29">
        <f>M20+Q19</f>
        <v>1939</v>
      </c>
      <c r="S18" s="22"/>
      <c r="T18" s="52"/>
      <c r="U18" s="22"/>
      <c r="V18" s="22"/>
      <c r="W18" s="22"/>
      <c r="X18" s="52"/>
    </row>
    <row r="19" spans="1:24" ht="14.25" customHeight="1">
      <c r="A19" s="32"/>
      <c r="B19" s="77"/>
      <c r="C19" s="11" t="s">
        <v>142</v>
      </c>
      <c r="D19" s="11"/>
      <c r="E19" s="25">
        <f>R20</f>
        <v>1939</v>
      </c>
      <c r="F19" s="46">
        <v>11</v>
      </c>
      <c r="G19" s="17">
        <f>ROUNDDOWN(56.0211*((G17*1.3706)-1.5)^1.05,0)</f>
        <v>346</v>
      </c>
      <c r="H19" s="35">
        <f>G19</f>
        <v>346</v>
      </c>
      <c r="I19" s="17">
        <f>ROUNDDOWN(0.188807*(100*(I17*1.3405)-210)^1.41,0)</f>
        <v>366</v>
      </c>
      <c r="J19" s="35">
        <f>G20+I19</f>
        <v>712</v>
      </c>
      <c r="K19" s="39">
        <f>IF(K17=0,0,TRUNC(4.99087*((42.26-(K17*0.8262))^1.81)))</f>
        <v>567</v>
      </c>
      <c r="L19" s="35">
        <f>I20+K19</f>
        <v>1279</v>
      </c>
      <c r="M19" s="17">
        <f>ROUNDDOWN(15.9803*((M17*1.4482)-3.8)^1.04,0)</f>
        <v>112</v>
      </c>
      <c r="N19" s="19">
        <f>K20+M19</f>
        <v>1391</v>
      </c>
      <c r="O19" s="14"/>
      <c r="P19" s="14"/>
      <c r="Q19" s="23">
        <f>IF(O17+Q17=0,0,TRUNC(0.11193*((254-((O17*60+Q17)*0.8295))^1.88)))</f>
        <v>548</v>
      </c>
      <c r="R19" s="29">
        <f>M20+Q19</f>
        <v>1939</v>
      </c>
      <c r="S19" s="17"/>
      <c r="T19" s="52"/>
      <c r="U19" s="22"/>
      <c r="V19" s="22"/>
      <c r="W19" s="39"/>
      <c r="X19" s="52"/>
    </row>
    <row r="20" spans="1:24" ht="14.25" customHeight="1">
      <c r="A20" s="33"/>
      <c r="B20" s="76"/>
      <c r="C20" s="8"/>
      <c r="D20" s="8"/>
      <c r="E20" s="8"/>
      <c r="F20" s="51">
        <v>12</v>
      </c>
      <c r="G20" s="15">
        <f>E20+G19</f>
        <v>346</v>
      </c>
      <c r="H20" s="36">
        <f>G19</f>
        <v>346</v>
      </c>
      <c r="I20" s="24">
        <f>G20+I19</f>
        <v>712</v>
      </c>
      <c r="J20" s="35">
        <f>G20+I19</f>
        <v>712</v>
      </c>
      <c r="K20" s="24">
        <f>I20+K19</f>
        <v>1279</v>
      </c>
      <c r="L20" s="35">
        <f>I20+K19</f>
        <v>1279</v>
      </c>
      <c r="M20" s="15">
        <f>K20+M19</f>
        <v>1391</v>
      </c>
      <c r="N20" s="19">
        <f>K20+M19</f>
        <v>1391</v>
      </c>
      <c r="O20" s="15"/>
      <c r="P20" s="15"/>
      <c r="Q20" s="24">
        <f>M20+Q19</f>
        <v>1939</v>
      </c>
      <c r="R20" s="29">
        <f>M20+Q19</f>
        <v>1939</v>
      </c>
      <c r="S20" s="22"/>
      <c r="T20" s="52"/>
      <c r="U20" s="22"/>
      <c r="V20" s="22"/>
      <c r="W20" s="39"/>
      <c r="X20" s="52"/>
    </row>
    <row r="21" spans="1:24" ht="14.25" customHeight="1">
      <c r="A21" s="31"/>
      <c r="B21" s="73"/>
      <c r="C21" s="181">
        <v>812</v>
      </c>
      <c r="D21" s="130" t="s">
        <v>258</v>
      </c>
      <c r="E21" s="144" t="s">
        <v>359</v>
      </c>
      <c r="F21" s="46">
        <v>17</v>
      </c>
      <c r="G21" s="83">
        <v>6.52</v>
      </c>
      <c r="H21" s="34">
        <f>G23</f>
        <v>414</v>
      </c>
      <c r="I21" s="83">
        <v>3.07</v>
      </c>
      <c r="J21" s="34">
        <f>G24+I23</f>
        <v>688</v>
      </c>
      <c r="K21" s="82">
        <v>36.9</v>
      </c>
      <c r="L21" s="34">
        <f>I24+K23</f>
        <v>1036</v>
      </c>
      <c r="M21" s="83">
        <v>15.93</v>
      </c>
      <c r="N21" s="27">
        <f>K24+M23</f>
        <v>1342</v>
      </c>
      <c r="O21" s="84">
        <v>3</v>
      </c>
      <c r="P21" s="7" t="s">
        <v>25</v>
      </c>
      <c r="Q21" s="184" t="s">
        <v>354</v>
      </c>
      <c r="R21" s="28">
        <f>M24+Q23</f>
        <v>1705</v>
      </c>
      <c r="S21" s="17"/>
      <c r="T21" s="52"/>
      <c r="U21" s="22"/>
      <c r="V21" s="55"/>
      <c r="W21" s="57"/>
      <c r="X21" s="52"/>
    </row>
    <row r="22" spans="1:24" ht="12.75" customHeight="1">
      <c r="A22" s="32">
        <v>3</v>
      </c>
      <c r="B22" s="74"/>
      <c r="C22" s="20"/>
      <c r="D22" s="135" t="s">
        <v>52</v>
      </c>
      <c r="E22" s="105"/>
      <c r="F22" s="51">
        <v>18</v>
      </c>
      <c r="G22" s="18"/>
      <c r="H22" s="35">
        <f>G23</f>
        <v>414</v>
      </c>
      <c r="I22" s="106"/>
      <c r="J22" s="35">
        <f>G24+I23</f>
        <v>688</v>
      </c>
      <c r="K22" s="106"/>
      <c r="L22" s="35">
        <f>I24+K23</f>
        <v>1036</v>
      </c>
      <c r="M22" s="18"/>
      <c r="N22" s="19">
        <f>K24+M23</f>
        <v>1342</v>
      </c>
      <c r="O22" s="18"/>
      <c r="P22" s="18"/>
      <c r="Q22" s="18"/>
      <c r="R22" s="29">
        <f>M24+Q23</f>
        <v>1705</v>
      </c>
      <c r="S22" s="17"/>
      <c r="T22" s="52"/>
      <c r="U22" s="22"/>
      <c r="V22" s="22"/>
      <c r="W22" s="22"/>
      <c r="X22" s="52"/>
    </row>
    <row r="23" spans="1:24" ht="14.25" customHeight="1">
      <c r="A23" s="32"/>
      <c r="B23" s="77"/>
      <c r="C23" s="11" t="s">
        <v>80</v>
      </c>
      <c r="D23" s="11"/>
      <c r="E23" s="25">
        <f>R24</f>
        <v>1705</v>
      </c>
      <c r="F23" s="51">
        <v>19</v>
      </c>
      <c r="G23" s="17">
        <f>ROUNDDOWN(56.0211*((G21*1.2607)-1.5)^1.05,0)</f>
        <v>414</v>
      </c>
      <c r="H23" s="35">
        <f>G23</f>
        <v>414</v>
      </c>
      <c r="I23" s="17">
        <f>ROUNDDOWN(0.188807*(100*(I21*1.2538)-210)^1.41,0)</f>
        <v>274</v>
      </c>
      <c r="J23" s="35">
        <f>G24+I23</f>
        <v>688</v>
      </c>
      <c r="K23" s="39">
        <f>IF(K21=0,0,TRUNC(4.99087*((42.26-(K21*0.8622))^1.81)))</f>
        <v>348</v>
      </c>
      <c r="L23" s="35">
        <f>I24+K23</f>
        <v>1036</v>
      </c>
      <c r="M23" s="17">
        <f>ROUNDDOWN(15.9803*((M21*1.3147)-3.8)^1.04,0)</f>
        <v>306</v>
      </c>
      <c r="N23" s="19">
        <f>K24+M23</f>
        <v>1342</v>
      </c>
      <c r="O23" s="14"/>
      <c r="P23" s="14"/>
      <c r="Q23" s="23">
        <f>IF(O21+Q21=0,0,TRUNC(0.11193*((254-((O21*60+Q21)*0.8709))^1.88)))</f>
        <v>363</v>
      </c>
      <c r="R23" s="29">
        <f>M24+Q23</f>
        <v>1705</v>
      </c>
      <c r="S23" s="22"/>
      <c r="T23" s="52"/>
      <c r="U23" s="22"/>
      <c r="V23" s="22"/>
      <c r="W23" s="39"/>
      <c r="X23" s="52"/>
    </row>
    <row r="24" spans="1:24" ht="14.25" customHeight="1">
      <c r="A24" s="33"/>
      <c r="B24" s="76"/>
      <c r="C24" s="8"/>
      <c r="D24" s="8"/>
      <c r="E24" s="8"/>
      <c r="F24" s="46">
        <v>20</v>
      </c>
      <c r="G24" s="15">
        <f>E24+G23</f>
        <v>414</v>
      </c>
      <c r="H24" s="36">
        <f>G23</f>
        <v>414</v>
      </c>
      <c r="I24" s="24">
        <f>G24+I23</f>
        <v>688</v>
      </c>
      <c r="J24" s="35">
        <f>G24+I23</f>
        <v>688</v>
      </c>
      <c r="K24" s="24">
        <f>I24+K23</f>
        <v>1036</v>
      </c>
      <c r="L24" s="35">
        <f>I24+K23</f>
        <v>1036</v>
      </c>
      <c r="M24" s="15">
        <f>K24+M23</f>
        <v>1342</v>
      </c>
      <c r="N24" s="19">
        <f>K24+M23</f>
        <v>1342</v>
      </c>
      <c r="O24" s="15"/>
      <c r="P24" s="15"/>
      <c r="Q24" s="24">
        <f>M24+Q23</f>
        <v>1705</v>
      </c>
      <c r="R24" s="29">
        <f>M24+Q23</f>
        <v>1705</v>
      </c>
      <c r="S24" s="22"/>
      <c r="T24" s="52"/>
      <c r="U24" s="22"/>
      <c r="V24" s="22"/>
      <c r="W24" s="39"/>
      <c r="X24" s="52"/>
    </row>
    <row r="25" spans="1:24" ht="14.25" customHeight="1">
      <c r="A25" s="31"/>
      <c r="B25" s="73"/>
      <c r="C25" s="181">
        <v>705</v>
      </c>
      <c r="D25" s="130" t="s">
        <v>126</v>
      </c>
      <c r="E25" s="144" t="s">
        <v>360</v>
      </c>
      <c r="F25" s="51">
        <v>21</v>
      </c>
      <c r="G25" s="83">
        <v>5.02</v>
      </c>
      <c r="H25" s="34">
        <f>G27</f>
        <v>244</v>
      </c>
      <c r="I25" s="83">
        <v>2.45</v>
      </c>
      <c r="J25" s="34">
        <f>G28+I27</f>
        <v>307</v>
      </c>
      <c r="K25" s="82">
        <v>36.4</v>
      </c>
      <c r="L25" s="34">
        <f>I28+K27</f>
        <v>534</v>
      </c>
      <c r="M25" s="83">
        <v>11.96</v>
      </c>
      <c r="N25" s="27">
        <f>K28+M27</f>
        <v>707</v>
      </c>
      <c r="O25" s="84">
        <v>2</v>
      </c>
      <c r="P25" s="7" t="s">
        <v>25</v>
      </c>
      <c r="Q25" s="184" t="s">
        <v>352</v>
      </c>
      <c r="R25" s="28">
        <f>M28+Q27</f>
        <v>1201</v>
      </c>
      <c r="S25" s="56"/>
      <c r="T25" s="52"/>
      <c r="U25" s="22"/>
      <c r="V25" s="55"/>
      <c r="W25" s="57"/>
      <c r="X25" s="52"/>
    </row>
    <row r="26" spans="1:24" ht="12.75" customHeight="1">
      <c r="A26" s="32">
        <v>4</v>
      </c>
      <c r="B26" s="74"/>
      <c r="D26" s="90" t="s">
        <v>81</v>
      </c>
      <c r="E26" s="10"/>
      <c r="F26" s="51">
        <v>22</v>
      </c>
      <c r="G26" s="14"/>
      <c r="H26" s="35">
        <f>G27</f>
        <v>244</v>
      </c>
      <c r="I26" s="85"/>
      <c r="J26" s="35">
        <f>G28+I27</f>
        <v>307</v>
      </c>
      <c r="K26" s="85"/>
      <c r="L26" s="35">
        <f>I28+K27</f>
        <v>534</v>
      </c>
      <c r="M26" s="14"/>
      <c r="N26" s="19">
        <f>K28+M27</f>
        <v>707</v>
      </c>
      <c r="O26" s="14"/>
      <c r="P26" s="14"/>
      <c r="Q26" s="14"/>
      <c r="R26" s="29">
        <f>M28+Q27</f>
        <v>1201</v>
      </c>
      <c r="S26" s="56"/>
      <c r="T26" s="52"/>
      <c r="U26" s="22"/>
      <c r="V26" s="22"/>
      <c r="W26" s="22"/>
      <c r="X26" s="52"/>
    </row>
    <row r="27" spans="1:24" ht="14.25" customHeight="1">
      <c r="A27" s="32"/>
      <c r="B27" s="78"/>
      <c r="C27" s="11" t="s">
        <v>257</v>
      </c>
      <c r="E27" s="25">
        <f>R28</f>
        <v>1201</v>
      </c>
      <c r="F27" s="46">
        <v>23</v>
      </c>
      <c r="G27" s="17">
        <f>ROUNDDOWN(56.0211*((G25*1.11)-1.5)^1.05,0)</f>
        <v>244</v>
      </c>
      <c r="H27" s="35">
        <f>G27</f>
        <v>244</v>
      </c>
      <c r="I27" s="17">
        <f>ROUNDDOWN(0.188807*(100*(I25*1.1101)-210)^1.41,0)</f>
        <v>63</v>
      </c>
      <c r="J27" s="35">
        <f>G28+I27</f>
        <v>307</v>
      </c>
      <c r="K27" s="39">
        <f>IF(K25=0,0,TRUNC(4.99087*((42.26-(K25*0.9342))^1.81)))</f>
        <v>227</v>
      </c>
      <c r="L27" s="35">
        <f>I28+K27</f>
        <v>534</v>
      </c>
      <c r="M27" s="17">
        <f>ROUNDDOWN(15.9803*((M25*1.1475)-3.8)^1.04,0)</f>
        <v>173</v>
      </c>
      <c r="N27" s="19">
        <f>K28+M27</f>
        <v>707</v>
      </c>
      <c r="O27" s="14"/>
      <c r="P27" s="14"/>
      <c r="Q27" s="23">
        <f>IF(O25+Q25=0,0,TRUNC(0.11193*((254-((O25*60+Q25)*0.9537))^1.88)))</f>
        <v>494</v>
      </c>
      <c r="R27" s="29">
        <f>M28+Q27</f>
        <v>1201</v>
      </c>
      <c r="S27" s="22"/>
      <c r="T27" s="52"/>
      <c r="U27" s="22"/>
      <c r="V27" s="22"/>
      <c r="W27" s="39"/>
      <c r="X27" s="52"/>
    </row>
    <row r="28" spans="1:24" ht="14.25" customHeight="1">
      <c r="A28" s="33"/>
      <c r="B28" s="76"/>
      <c r="C28" s="8"/>
      <c r="D28" s="8"/>
      <c r="E28" s="8"/>
      <c r="F28" s="51">
        <v>24</v>
      </c>
      <c r="G28" s="15">
        <f>E28+G27</f>
        <v>244</v>
      </c>
      <c r="H28" s="36">
        <f>G27</f>
        <v>244</v>
      </c>
      <c r="I28" s="24">
        <f>G28+I27</f>
        <v>307</v>
      </c>
      <c r="J28" s="35">
        <f>G28+I27</f>
        <v>307</v>
      </c>
      <c r="K28" s="24">
        <f>I28+K27</f>
        <v>534</v>
      </c>
      <c r="L28" s="35">
        <f>I28+K27</f>
        <v>534</v>
      </c>
      <c r="M28" s="15">
        <f>K28+M27</f>
        <v>707</v>
      </c>
      <c r="N28" s="19">
        <f>K28+M27</f>
        <v>707</v>
      </c>
      <c r="O28" s="15"/>
      <c r="P28" s="15"/>
      <c r="Q28" s="24">
        <f>M28+Q27</f>
        <v>1201</v>
      </c>
      <c r="R28" s="29">
        <f>M28+Q27</f>
        <v>1201</v>
      </c>
      <c r="S28" s="22"/>
      <c r="T28" s="52"/>
      <c r="U28" s="22"/>
      <c r="V28" s="22"/>
      <c r="W28" s="39"/>
      <c r="X28" s="52"/>
    </row>
    <row r="29" spans="1:24" ht="14.25" customHeight="1">
      <c r="A29" s="31"/>
      <c r="B29" s="73"/>
      <c r="C29" s="181">
        <v>811</v>
      </c>
      <c r="D29" s="130" t="s">
        <v>259</v>
      </c>
      <c r="E29" s="142" t="s">
        <v>361</v>
      </c>
      <c r="F29" s="51">
        <v>13</v>
      </c>
      <c r="G29" s="83">
        <v>4.88</v>
      </c>
      <c r="H29" s="34">
        <f>G31</f>
        <v>315</v>
      </c>
      <c r="I29" s="83">
        <v>1.73</v>
      </c>
      <c r="J29" s="34">
        <f>G32+I31</f>
        <v>329</v>
      </c>
      <c r="K29" s="82">
        <v>43.7</v>
      </c>
      <c r="L29" s="34">
        <f>I32+K31</f>
        <v>462</v>
      </c>
      <c r="M29" s="83">
        <v>11.47</v>
      </c>
      <c r="N29" s="27">
        <f>K32+M31</f>
        <v>688</v>
      </c>
      <c r="O29" s="84">
        <v>3</v>
      </c>
      <c r="P29" s="7" t="s">
        <v>25</v>
      </c>
      <c r="Q29" s="184" t="s">
        <v>355</v>
      </c>
      <c r="R29" s="28">
        <f>M32+Q31</f>
        <v>1155</v>
      </c>
      <c r="S29" s="56"/>
      <c r="T29" s="52"/>
      <c r="U29" s="22"/>
      <c r="V29" s="55"/>
      <c r="W29" s="57"/>
      <c r="X29" s="52"/>
    </row>
    <row r="30" spans="1:24" ht="12.75" customHeight="1">
      <c r="A30" s="32">
        <v>5</v>
      </c>
      <c r="B30" s="74"/>
      <c r="D30" s="90" t="s">
        <v>83</v>
      </c>
      <c r="E30" s="10"/>
      <c r="F30" s="46">
        <v>14</v>
      </c>
      <c r="G30" s="14"/>
      <c r="H30" s="35">
        <f>G31</f>
        <v>315</v>
      </c>
      <c r="I30" s="85"/>
      <c r="J30" s="35">
        <f>G32+I31</f>
        <v>329</v>
      </c>
      <c r="K30" s="85"/>
      <c r="L30" s="35">
        <f>I32+K31</f>
        <v>462</v>
      </c>
      <c r="M30" s="14"/>
      <c r="N30" s="19">
        <f>K32+M31</f>
        <v>688</v>
      </c>
      <c r="O30" s="14"/>
      <c r="P30" s="14"/>
      <c r="Q30" s="14"/>
      <c r="R30" s="29">
        <f>M32+Q31</f>
        <v>1155</v>
      </c>
      <c r="S30" s="22"/>
      <c r="T30" s="52"/>
      <c r="U30" s="22"/>
      <c r="V30" s="22"/>
      <c r="W30" s="22"/>
      <c r="X30" s="52"/>
    </row>
    <row r="31" spans="1:24" ht="14.25" customHeight="1">
      <c r="A31" s="32"/>
      <c r="B31" s="78"/>
      <c r="C31" s="11" t="s">
        <v>142</v>
      </c>
      <c r="D31" s="190"/>
      <c r="E31" s="25">
        <f>R32</f>
        <v>1155</v>
      </c>
      <c r="F31" s="51">
        <v>15</v>
      </c>
      <c r="G31" s="17">
        <f>ROUNDDOWN(56.0211*((G29*1.3706)-1.5)^1.05,0)</f>
        <v>315</v>
      </c>
      <c r="H31" s="35">
        <f>G31</f>
        <v>315</v>
      </c>
      <c r="I31" s="17">
        <f>ROUNDDOWN(0.188807*(100*(I29*1.3405)-210)^1.41,0)</f>
        <v>14</v>
      </c>
      <c r="J31" s="35">
        <f>G32+I31</f>
        <v>329</v>
      </c>
      <c r="K31" s="39">
        <f>IF(K29=0,0,TRUNC(4.99087*((42.26-(K29*0.8262))^1.81)))</f>
        <v>133</v>
      </c>
      <c r="L31" s="35">
        <f>I32+K31</f>
        <v>462</v>
      </c>
      <c r="M31" s="17">
        <f>ROUNDDOWN(15.9803*((M29*1.4482)-3.8)^1.04,0)</f>
        <v>226</v>
      </c>
      <c r="N31" s="19">
        <f>K32+M31</f>
        <v>688</v>
      </c>
      <c r="O31" s="14"/>
      <c r="P31" s="14"/>
      <c r="Q31" s="23">
        <f>IF(O29+Q29=0,0,TRUNC(0.11193*((254-((O29*60+Q29)*0.8295))^1.88)))</f>
        <v>467</v>
      </c>
      <c r="R31" s="29">
        <f>M32+Q31</f>
        <v>1155</v>
      </c>
      <c r="S31" s="17"/>
      <c r="T31" s="52"/>
      <c r="U31" s="22"/>
      <c r="V31" s="22"/>
      <c r="W31" s="39"/>
      <c r="X31" s="52"/>
    </row>
    <row r="32" spans="1:24" ht="14.25" customHeight="1">
      <c r="A32" s="33"/>
      <c r="B32" s="76"/>
      <c r="C32" s="8"/>
      <c r="D32" s="8"/>
      <c r="E32" s="8"/>
      <c r="F32" s="51">
        <v>16</v>
      </c>
      <c r="G32" s="15">
        <f>E32+G31</f>
        <v>315</v>
      </c>
      <c r="H32" s="36">
        <f>G31</f>
        <v>315</v>
      </c>
      <c r="I32" s="24">
        <f>G32+I31</f>
        <v>329</v>
      </c>
      <c r="J32" s="35">
        <f>G32+I31</f>
        <v>329</v>
      </c>
      <c r="K32" s="24">
        <f>I32+K31</f>
        <v>462</v>
      </c>
      <c r="L32" s="35">
        <f>I32+K31</f>
        <v>462</v>
      </c>
      <c r="M32" s="15">
        <f>K32+M31</f>
        <v>688</v>
      </c>
      <c r="N32" s="19">
        <f>K32+M31</f>
        <v>688</v>
      </c>
      <c r="O32" s="15"/>
      <c r="P32" s="15"/>
      <c r="Q32" s="24">
        <f>M32+Q31</f>
        <v>1155</v>
      </c>
      <c r="R32" s="29">
        <f>M32+Q31</f>
        <v>1155</v>
      </c>
      <c r="S32" s="22"/>
      <c r="T32" s="52"/>
      <c r="U32" s="22"/>
      <c r="V32" s="22"/>
      <c r="W32" s="39"/>
      <c r="X32" s="52"/>
    </row>
    <row r="33" spans="1:23" ht="14.25" customHeight="1">
      <c r="A33" s="31"/>
      <c r="B33" s="73"/>
      <c r="C33" s="181">
        <v>814</v>
      </c>
      <c r="D33" s="130" t="s">
        <v>260</v>
      </c>
      <c r="E33" s="144" t="s">
        <v>362</v>
      </c>
      <c r="F33" s="51">
        <v>25</v>
      </c>
      <c r="G33" s="83">
        <v>5.32</v>
      </c>
      <c r="H33" s="34">
        <f>G35</f>
        <v>316</v>
      </c>
      <c r="I33" s="83">
        <v>2.43</v>
      </c>
      <c r="J33" s="34">
        <f>G36+I35</f>
        <v>431</v>
      </c>
      <c r="K33" s="82">
        <v>44.1</v>
      </c>
      <c r="L33" s="34">
        <f>I36+K35</f>
        <v>499</v>
      </c>
      <c r="M33" s="83">
        <v>8.02</v>
      </c>
      <c r="N33" s="27">
        <f>K36+M35</f>
        <v>615</v>
      </c>
      <c r="O33" s="84">
        <v>3</v>
      </c>
      <c r="P33" s="7" t="s">
        <v>25</v>
      </c>
      <c r="Q33" s="184" t="s">
        <v>356</v>
      </c>
      <c r="R33" s="28">
        <f>M36+Q35</f>
        <v>852</v>
      </c>
      <c r="S33" s="20"/>
      <c r="T33" s="20"/>
      <c r="U33" s="20"/>
      <c r="V33" s="20"/>
      <c r="W33" s="20"/>
    </row>
    <row r="34" spans="1:23" ht="14.25" customHeight="1">
      <c r="A34" s="32">
        <v>6</v>
      </c>
      <c r="B34" s="74"/>
      <c r="D34" s="90" t="s">
        <v>52</v>
      </c>
      <c r="E34" s="10"/>
      <c r="F34" s="46">
        <v>26</v>
      </c>
      <c r="G34" s="14"/>
      <c r="H34" s="35">
        <f>G35</f>
        <v>316</v>
      </c>
      <c r="I34" s="85"/>
      <c r="J34" s="35">
        <f>G36+I35</f>
        <v>431</v>
      </c>
      <c r="K34" s="85"/>
      <c r="L34" s="35">
        <f>I36+K35</f>
        <v>499</v>
      </c>
      <c r="M34" s="14"/>
      <c r="N34" s="19">
        <f>K36+M35</f>
        <v>615</v>
      </c>
      <c r="O34" s="14"/>
      <c r="P34" s="14"/>
      <c r="Q34" s="14"/>
      <c r="R34" s="29">
        <f>M36+Q35</f>
        <v>852</v>
      </c>
      <c r="S34" s="20"/>
      <c r="T34" s="20"/>
      <c r="U34" s="20"/>
      <c r="V34" s="20"/>
      <c r="W34" s="20"/>
    </row>
    <row r="35" spans="1:18" ht="14.25" customHeight="1">
      <c r="A35" s="32"/>
      <c r="B35" s="78"/>
      <c r="C35" s="11" t="s">
        <v>257</v>
      </c>
      <c r="D35" s="11"/>
      <c r="E35" s="25">
        <f>R36</f>
        <v>852</v>
      </c>
      <c r="F35" s="51">
        <v>27</v>
      </c>
      <c r="G35" s="17">
        <f>ROUNDDOWN(56.0211*((G33*1.2607)-1.5)^1.05,0)</f>
        <v>316</v>
      </c>
      <c r="H35" s="35">
        <f>G35</f>
        <v>316</v>
      </c>
      <c r="I35" s="17">
        <f>ROUNDDOWN(0.188807*(100*(I33*1.2538)-210)^1.41,0)</f>
        <v>115</v>
      </c>
      <c r="J35" s="35">
        <f>G36+I35</f>
        <v>431</v>
      </c>
      <c r="K35" s="39">
        <f>IF(K33=0,0,TRUNC(4.99087*((42.26-(K33*0.8622))^1.81)))</f>
        <v>68</v>
      </c>
      <c r="L35" s="35">
        <f>I36+K35</f>
        <v>499</v>
      </c>
      <c r="M35" s="17">
        <f>ROUNDDOWN(15.9803*((M33*1.3147)-3.8)^1.04,0)</f>
        <v>116</v>
      </c>
      <c r="N35" s="19">
        <f>K36+M35</f>
        <v>615</v>
      </c>
      <c r="O35" s="14"/>
      <c r="P35" s="14"/>
      <c r="Q35" s="23">
        <f>IF(O33+Q33=0,0,TRUNC(0.11193*((254-((O33*60+Q33)*0.8709))^1.88)))</f>
        <v>237</v>
      </c>
      <c r="R35" s="29">
        <f>M36+Q35</f>
        <v>852</v>
      </c>
    </row>
    <row r="36" spans="1:18" ht="14.25" customHeight="1">
      <c r="A36" s="33"/>
      <c r="B36" s="76"/>
      <c r="C36" s="8"/>
      <c r="D36" s="8"/>
      <c r="E36" s="8"/>
      <c r="F36" s="51">
        <v>28</v>
      </c>
      <c r="G36" s="15">
        <f>E36+G35</f>
        <v>316</v>
      </c>
      <c r="H36" s="36">
        <f>G35</f>
        <v>316</v>
      </c>
      <c r="I36" s="24">
        <f>G36+I35</f>
        <v>431</v>
      </c>
      <c r="J36" s="35">
        <f>G36+I35</f>
        <v>431</v>
      </c>
      <c r="K36" s="24">
        <f>I36+K35</f>
        <v>499</v>
      </c>
      <c r="L36" s="35">
        <f>I36+K35</f>
        <v>499</v>
      </c>
      <c r="M36" s="15">
        <f>K36+M35</f>
        <v>615</v>
      </c>
      <c r="N36" s="19">
        <f>K36+M35</f>
        <v>615</v>
      </c>
      <c r="O36" s="15"/>
      <c r="P36" s="15"/>
      <c r="Q36" s="24">
        <f>M36+Q35</f>
        <v>852</v>
      </c>
      <c r="R36" s="29">
        <f>M36+Q35</f>
        <v>852</v>
      </c>
    </row>
    <row r="37" spans="1:18" ht="14.25" customHeight="1">
      <c r="A37" s="187"/>
      <c r="B37" s="73"/>
      <c r="C37" s="181"/>
      <c r="D37" s="130"/>
      <c r="E37" s="144"/>
      <c r="F37" s="51"/>
      <c r="G37" s="83"/>
      <c r="H37" s="34"/>
      <c r="I37" s="83"/>
      <c r="J37" s="34"/>
      <c r="K37" s="82"/>
      <c r="L37" s="34"/>
      <c r="M37" s="83"/>
      <c r="N37" s="27"/>
      <c r="O37" s="84"/>
      <c r="P37" s="7"/>
      <c r="Q37" s="184"/>
      <c r="R37" s="28"/>
    </row>
    <row r="38" spans="1:18" ht="14.25" customHeight="1">
      <c r="A38" s="32"/>
      <c r="B38" s="147"/>
      <c r="D38" s="90"/>
      <c r="E38" s="10"/>
      <c r="F38" s="46"/>
      <c r="G38" s="14"/>
      <c r="H38" s="35"/>
      <c r="I38" s="85"/>
      <c r="J38" s="35"/>
      <c r="K38" s="85"/>
      <c r="L38" s="35"/>
      <c r="M38" s="14"/>
      <c r="N38" s="19"/>
      <c r="O38" s="14"/>
      <c r="P38" s="14"/>
      <c r="Q38" s="14"/>
      <c r="R38" s="29"/>
    </row>
    <row r="39" spans="1:18" ht="14.25" customHeight="1">
      <c r="A39" s="152"/>
      <c r="B39" s="75"/>
      <c r="C39" s="11"/>
      <c r="D39" s="11"/>
      <c r="E39" s="25"/>
      <c r="F39" s="51"/>
      <c r="G39" s="17"/>
      <c r="H39" s="35"/>
      <c r="I39" s="17"/>
      <c r="J39" s="35"/>
      <c r="K39" s="39"/>
      <c r="L39" s="35"/>
      <c r="M39" s="17"/>
      <c r="N39" s="19"/>
      <c r="O39" s="14"/>
      <c r="P39" s="14"/>
      <c r="Q39" s="23"/>
      <c r="R39" s="29"/>
    </row>
    <row r="40" spans="1:19" ht="14.25" customHeight="1">
      <c r="A40" s="97"/>
      <c r="B40" s="73"/>
      <c r="C40" s="20"/>
      <c r="D40" s="20"/>
      <c r="E40" s="20"/>
      <c r="F40" s="127"/>
      <c r="G40" s="18"/>
      <c r="H40" s="35"/>
      <c r="I40" s="110"/>
      <c r="J40" s="35"/>
      <c r="K40" s="110"/>
      <c r="L40" s="35"/>
      <c r="M40" s="18"/>
      <c r="N40" s="19"/>
      <c r="O40" s="18"/>
      <c r="P40" s="18"/>
      <c r="Q40" s="110"/>
      <c r="R40" s="29"/>
      <c r="S40" s="20"/>
    </row>
    <row r="41" spans="1:19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8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52" spans="1:19" ht="12.75">
      <c r="A52" s="20"/>
      <c r="B52" s="20"/>
      <c r="C52" s="20"/>
      <c r="D52" s="20"/>
      <c r="E52" s="20"/>
      <c r="F52" s="20"/>
      <c r="G52" s="20"/>
      <c r="H52" s="19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15.75">
      <c r="A53" s="114"/>
      <c r="B53" s="11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ht="15.75">
      <c r="A54" s="114"/>
      <c r="B54" s="114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ht="15.75">
      <c r="A55" s="114"/>
      <c r="B55" s="114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15.75">
      <c r="A57" s="6"/>
      <c r="B57" s="6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24" ht="12.75">
      <c r="A58" s="115"/>
      <c r="B58" s="115"/>
      <c r="C58" s="20"/>
      <c r="D58" s="20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16"/>
      <c r="U58" s="16"/>
      <c r="V58" s="16"/>
      <c r="W58" s="16"/>
      <c r="X58" s="16"/>
    </row>
    <row r="59" spans="1:24" ht="12.75">
      <c r="A59" s="20"/>
      <c r="B59" s="20"/>
      <c r="C59" s="20"/>
      <c r="D59" s="20"/>
      <c r="E59" s="38"/>
      <c r="F59" s="38"/>
      <c r="G59" s="116"/>
      <c r="H59" s="123"/>
      <c r="I59" s="116"/>
      <c r="J59" s="116"/>
      <c r="K59" s="116"/>
      <c r="L59" s="123"/>
      <c r="M59" s="116"/>
      <c r="N59" s="116"/>
      <c r="O59" s="116"/>
      <c r="P59" s="116"/>
      <c r="Q59" s="116"/>
      <c r="R59" s="116"/>
      <c r="S59" s="123"/>
      <c r="T59" s="42"/>
      <c r="U59" s="42"/>
      <c r="V59" s="42"/>
      <c r="W59" s="43"/>
      <c r="X59" s="16"/>
    </row>
    <row r="60" spans="1:24" ht="14.25" customHeight="1">
      <c r="A60" s="116"/>
      <c r="B60" s="117"/>
      <c r="C60" s="118"/>
      <c r="D60" s="95"/>
      <c r="E60" s="119"/>
      <c r="F60" s="38"/>
      <c r="G60" s="120"/>
      <c r="H60" s="124"/>
      <c r="I60" s="120"/>
      <c r="J60" s="121"/>
      <c r="K60" s="120"/>
      <c r="L60" s="124"/>
      <c r="M60" s="120"/>
      <c r="N60" s="121"/>
      <c r="O60" s="121"/>
      <c r="P60" s="121"/>
      <c r="Q60" s="120"/>
      <c r="R60" s="121"/>
      <c r="S60" s="125"/>
      <c r="T60" s="45"/>
      <c r="U60" s="45"/>
      <c r="V60" s="45"/>
      <c r="W60" s="44"/>
      <c r="X60" s="16"/>
    </row>
    <row r="61" spans="1:24" ht="12.75">
      <c r="A61" s="116"/>
      <c r="B61" s="117"/>
      <c r="C61" s="20"/>
      <c r="D61" s="20"/>
      <c r="E61" s="105"/>
      <c r="F61" s="126"/>
      <c r="G61" s="18"/>
      <c r="H61" s="55"/>
      <c r="I61" s="18"/>
      <c r="J61" s="19"/>
      <c r="K61" s="18"/>
      <c r="L61" s="55"/>
      <c r="M61" s="18"/>
      <c r="N61" s="19"/>
      <c r="O61" s="19"/>
      <c r="P61" s="19"/>
      <c r="Q61" s="18"/>
      <c r="R61" s="19"/>
      <c r="S61" s="22"/>
      <c r="T61" s="48"/>
      <c r="U61" s="48"/>
      <c r="V61" s="48"/>
      <c r="W61" s="47"/>
      <c r="X61" s="16"/>
    </row>
    <row r="62" spans="1:24" ht="14.25" customHeight="1">
      <c r="A62" s="20"/>
      <c r="B62" s="20"/>
      <c r="C62" s="95"/>
      <c r="D62" s="20"/>
      <c r="E62" s="96"/>
      <c r="F62" s="55"/>
      <c r="G62" s="18"/>
      <c r="H62" s="55"/>
      <c r="I62" s="18"/>
      <c r="J62" s="19"/>
      <c r="K62" s="18"/>
      <c r="L62" s="55"/>
      <c r="M62" s="18"/>
      <c r="N62" s="19"/>
      <c r="O62" s="19"/>
      <c r="P62" s="19"/>
      <c r="Q62" s="18"/>
      <c r="R62" s="19"/>
      <c r="S62" s="22"/>
      <c r="T62" s="48"/>
      <c r="U62" s="48"/>
      <c r="V62" s="48"/>
      <c r="W62" s="47"/>
      <c r="X62" s="16"/>
    </row>
    <row r="63" spans="1:24" ht="12.75">
      <c r="A63" s="20"/>
      <c r="B63" s="20"/>
      <c r="C63" s="20"/>
      <c r="D63" s="20"/>
      <c r="E63" s="20"/>
      <c r="F63" s="38"/>
      <c r="G63" s="18"/>
      <c r="H63" s="55"/>
      <c r="I63" s="18"/>
      <c r="J63" s="19"/>
      <c r="K63" s="18"/>
      <c r="L63" s="55"/>
      <c r="M63" s="18"/>
      <c r="N63" s="19"/>
      <c r="O63" s="19"/>
      <c r="P63" s="19"/>
      <c r="Q63" s="18"/>
      <c r="R63" s="19"/>
      <c r="S63" s="22"/>
      <c r="T63" s="55"/>
      <c r="U63" s="55"/>
      <c r="V63" s="55"/>
      <c r="W63" s="22"/>
      <c r="X63" s="16"/>
    </row>
    <row r="64" spans="1:24" ht="14.25" customHeight="1">
      <c r="A64" s="97"/>
      <c r="B64" s="73"/>
      <c r="C64" s="98"/>
      <c r="D64" s="95"/>
      <c r="E64" s="99"/>
      <c r="F64" s="127"/>
      <c r="G64" s="102"/>
      <c r="H64" s="35"/>
      <c r="I64" s="101"/>
      <c r="J64" s="35"/>
      <c r="K64" s="101"/>
      <c r="L64" s="35"/>
      <c r="M64" s="101"/>
      <c r="N64" s="19"/>
      <c r="O64" s="122"/>
      <c r="P64" s="19"/>
      <c r="Q64" s="104"/>
      <c r="R64" s="29"/>
      <c r="S64" s="56"/>
      <c r="T64" s="52"/>
      <c r="U64" s="22"/>
      <c r="V64" s="55"/>
      <c r="W64" s="57"/>
      <c r="X64" s="52"/>
    </row>
    <row r="65" spans="1:24" ht="12.75" customHeight="1">
      <c r="A65" s="97"/>
      <c r="B65" s="73"/>
      <c r="C65" s="20"/>
      <c r="D65" s="20"/>
      <c r="E65" s="105"/>
      <c r="F65" s="126"/>
      <c r="G65" s="106"/>
      <c r="H65" s="35"/>
      <c r="I65" s="18"/>
      <c r="J65" s="35"/>
      <c r="K65" s="18"/>
      <c r="L65" s="35"/>
      <c r="M65" s="106"/>
      <c r="N65" s="19"/>
      <c r="O65" s="18"/>
      <c r="P65" s="18"/>
      <c r="Q65" s="18"/>
      <c r="R65" s="29"/>
      <c r="S65" s="22"/>
      <c r="T65" s="52"/>
      <c r="U65" s="22"/>
      <c r="V65" s="22"/>
      <c r="W65" s="22"/>
      <c r="X65" s="52"/>
    </row>
    <row r="66" spans="1:24" ht="14.25" customHeight="1">
      <c r="A66" s="97"/>
      <c r="B66" s="107"/>
      <c r="C66" s="95"/>
      <c r="D66" s="95"/>
      <c r="E66" s="108"/>
      <c r="F66" s="128"/>
      <c r="G66" s="39"/>
      <c r="H66" s="35"/>
      <c r="I66" s="17"/>
      <c r="J66" s="35"/>
      <c r="K66" s="17"/>
      <c r="L66" s="35"/>
      <c r="M66" s="17"/>
      <c r="N66" s="19"/>
      <c r="O66" s="18"/>
      <c r="P66" s="18"/>
      <c r="Q66" s="23"/>
      <c r="R66" s="29"/>
      <c r="S66" s="17"/>
      <c r="T66" s="52"/>
      <c r="U66" s="22"/>
      <c r="V66" s="22"/>
      <c r="W66" s="39"/>
      <c r="X66" s="52"/>
    </row>
    <row r="67" spans="1:24" ht="14.25" customHeight="1">
      <c r="A67" s="97"/>
      <c r="B67" s="73"/>
      <c r="C67" s="20"/>
      <c r="D67" s="20"/>
      <c r="E67" s="20"/>
      <c r="F67" s="126"/>
      <c r="G67" s="110"/>
      <c r="H67" s="35"/>
      <c r="I67" s="18"/>
      <c r="J67" s="35"/>
      <c r="K67" s="18"/>
      <c r="L67" s="35"/>
      <c r="M67" s="110"/>
      <c r="N67" s="19"/>
      <c r="O67" s="18"/>
      <c r="P67" s="18"/>
      <c r="Q67" s="110"/>
      <c r="R67" s="29"/>
      <c r="S67" s="22"/>
      <c r="T67" s="52"/>
      <c r="U67" s="22"/>
      <c r="V67" s="22"/>
      <c r="W67" s="39"/>
      <c r="X67" s="52"/>
    </row>
    <row r="68" spans="1:24" ht="14.25" customHeight="1">
      <c r="A68" s="97"/>
      <c r="B68" s="73"/>
      <c r="C68" s="98"/>
      <c r="D68" s="95"/>
      <c r="E68" s="99"/>
      <c r="F68" s="127"/>
      <c r="G68" s="102"/>
      <c r="H68" s="35"/>
      <c r="I68" s="101"/>
      <c r="J68" s="35"/>
      <c r="K68" s="101"/>
      <c r="L68" s="35"/>
      <c r="M68" s="101"/>
      <c r="N68" s="19"/>
      <c r="O68" s="122"/>
      <c r="P68" s="19"/>
      <c r="Q68" s="104"/>
      <c r="R68" s="29"/>
      <c r="S68" s="56"/>
      <c r="T68" s="52"/>
      <c r="U68" s="22"/>
      <c r="V68" s="55"/>
      <c r="W68" s="57"/>
      <c r="X68" s="52"/>
    </row>
    <row r="69" spans="1:24" ht="12.75" customHeight="1">
      <c r="A69" s="97"/>
      <c r="B69" s="73"/>
      <c r="C69" s="20"/>
      <c r="D69" s="20"/>
      <c r="E69" s="105"/>
      <c r="F69" s="126"/>
      <c r="G69" s="106"/>
      <c r="H69" s="35"/>
      <c r="I69" s="18"/>
      <c r="J69" s="35"/>
      <c r="K69" s="18"/>
      <c r="L69" s="35"/>
      <c r="M69" s="106"/>
      <c r="N69" s="19"/>
      <c r="O69" s="18"/>
      <c r="P69" s="18"/>
      <c r="Q69" s="18"/>
      <c r="R69" s="29"/>
      <c r="S69" s="22"/>
      <c r="T69" s="52"/>
      <c r="U69" s="22"/>
      <c r="V69" s="22"/>
      <c r="W69" s="22"/>
      <c r="X69" s="52"/>
    </row>
    <row r="70" spans="1:24" ht="14.25" customHeight="1">
      <c r="A70" s="97"/>
      <c r="B70" s="111"/>
      <c r="C70" s="95"/>
      <c r="D70" s="95"/>
      <c r="E70" s="108"/>
      <c r="F70" s="128"/>
      <c r="G70" s="39"/>
      <c r="H70" s="35"/>
      <c r="I70" s="17"/>
      <c r="J70" s="35"/>
      <c r="K70" s="17"/>
      <c r="L70" s="35"/>
      <c r="M70" s="17"/>
      <c r="N70" s="19"/>
      <c r="O70" s="18"/>
      <c r="P70" s="18"/>
      <c r="Q70" s="23"/>
      <c r="R70" s="29"/>
      <c r="S70" s="17"/>
      <c r="T70" s="52"/>
      <c r="U70" s="22"/>
      <c r="V70" s="22"/>
      <c r="W70" s="39"/>
      <c r="X70" s="52"/>
    </row>
    <row r="71" spans="1:24" ht="14.25" customHeight="1">
      <c r="A71" s="97"/>
      <c r="B71" s="73"/>
      <c r="C71" s="20"/>
      <c r="D71" s="20"/>
      <c r="E71" s="20"/>
      <c r="F71" s="126"/>
      <c r="G71" s="110"/>
      <c r="H71" s="35"/>
      <c r="I71" s="18"/>
      <c r="J71" s="35"/>
      <c r="K71" s="18"/>
      <c r="L71" s="35"/>
      <c r="M71" s="110"/>
      <c r="N71" s="19"/>
      <c r="O71" s="18"/>
      <c r="P71" s="18"/>
      <c r="Q71" s="110"/>
      <c r="R71" s="29"/>
      <c r="S71" s="22"/>
      <c r="T71" s="52"/>
      <c r="U71" s="22"/>
      <c r="V71" s="22"/>
      <c r="W71" s="39"/>
      <c r="X71" s="52"/>
    </row>
    <row r="72" spans="1:24" ht="14.25" customHeight="1">
      <c r="A72" s="97"/>
      <c r="B72" s="73"/>
      <c r="C72" s="98"/>
      <c r="D72" s="95"/>
      <c r="E72" s="99"/>
      <c r="F72" s="127"/>
      <c r="G72" s="102"/>
      <c r="H72" s="35"/>
      <c r="I72" s="101"/>
      <c r="J72" s="35"/>
      <c r="K72" s="101"/>
      <c r="L72" s="35"/>
      <c r="M72" s="101"/>
      <c r="N72" s="19"/>
      <c r="O72" s="122"/>
      <c r="P72" s="19"/>
      <c r="Q72" s="104"/>
      <c r="R72" s="29"/>
      <c r="S72" s="56"/>
      <c r="T72" s="52"/>
      <c r="U72" s="22"/>
      <c r="V72" s="55"/>
      <c r="W72" s="57"/>
      <c r="X72" s="52"/>
    </row>
    <row r="73" spans="1:24" ht="12.75" customHeight="1">
      <c r="A73" s="97"/>
      <c r="B73" s="73"/>
      <c r="C73" s="20"/>
      <c r="D73" s="20"/>
      <c r="E73" s="105"/>
      <c r="F73" s="126"/>
      <c r="G73" s="106"/>
      <c r="H73" s="35"/>
      <c r="I73" s="18"/>
      <c r="J73" s="35"/>
      <c r="K73" s="18"/>
      <c r="L73" s="35"/>
      <c r="M73" s="106"/>
      <c r="N73" s="19"/>
      <c r="O73" s="18"/>
      <c r="P73" s="18"/>
      <c r="Q73" s="18"/>
      <c r="R73" s="29"/>
      <c r="S73" s="22"/>
      <c r="T73" s="52"/>
      <c r="U73" s="22"/>
      <c r="V73" s="22"/>
      <c r="W73" s="22"/>
      <c r="X73" s="52"/>
    </row>
    <row r="74" spans="1:24" ht="14.25" customHeight="1">
      <c r="A74" s="97"/>
      <c r="B74" s="112"/>
      <c r="C74" s="95"/>
      <c r="D74" s="95"/>
      <c r="E74" s="108"/>
      <c r="F74" s="128"/>
      <c r="G74" s="39"/>
      <c r="H74" s="35"/>
      <c r="I74" s="17"/>
      <c r="J74" s="35"/>
      <c r="K74" s="17"/>
      <c r="L74" s="35"/>
      <c r="M74" s="17"/>
      <c r="N74" s="19"/>
      <c r="O74" s="18"/>
      <c r="P74" s="18"/>
      <c r="Q74" s="23"/>
      <c r="R74" s="29"/>
      <c r="S74" s="17"/>
      <c r="T74" s="52"/>
      <c r="U74" s="22"/>
      <c r="V74" s="22"/>
      <c r="W74" s="39"/>
      <c r="X74" s="52"/>
    </row>
    <row r="75" spans="1:24" ht="14.25" customHeight="1">
      <c r="A75" s="97"/>
      <c r="B75" s="73"/>
      <c r="C75" s="20"/>
      <c r="D75" s="20"/>
      <c r="E75" s="20"/>
      <c r="F75" s="126"/>
      <c r="G75" s="110"/>
      <c r="H75" s="35"/>
      <c r="I75" s="18"/>
      <c r="J75" s="35"/>
      <c r="K75" s="18"/>
      <c r="L75" s="35"/>
      <c r="M75" s="110"/>
      <c r="N75" s="19"/>
      <c r="O75" s="18"/>
      <c r="P75" s="18"/>
      <c r="Q75" s="110"/>
      <c r="R75" s="29"/>
      <c r="S75" s="22"/>
      <c r="T75" s="52"/>
      <c r="U75" s="22"/>
      <c r="V75" s="22"/>
      <c r="W75" s="39"/>
      <c r="X75" s="52"/>
    </row>
    <row r="76" spans="1:24" ht="14.25" customHeight="1">
      <c r="A76" s="97"/>
      <c r="B76" s="73"/>
      <c r="C76" s="98"/>
      <c r="D76" s="95"/>
      <c r="E76" s="99"/>
      <c r="F76" s="127"/>
      <c r="G76" s="102"/>
      <c r="H76" s="35"/>
      <c r="I76" s="101"/>
      <c r="J76" s="35"/>
      <c r="K76" s="101"/>
      <c r="L76" s="35"/>
      <c r="M76" s="101"/>
      <c r="N76" s="19"/>
      <c r="O76" s="122"/>
      <c r="P76" s="19"/>
      <c r="Q76" s="104"/>
      <c r="R76" s="29"/>
      <c r="S76" s="56"/>
      <c r="T76" s="52"/>
      <c r="U76" s="22"/>
      <c r="V76" s="55"/>
      <c r="W76" s="57"/>
      <c r="X76" s="52"/>
    </row>
    <row r="77" spans="1:24" ht="12.75" customHeight="1">
      <c r="A77" s="97"/>
      <c r="B77" s="73"/>
      <c r="C77" s="20"/>
      <c r="D77" s="20"/>
      <c r="E77" s="105"/>
      <c r="F77" s="126"/>
      <c r="G77" s="106"/>
      <c r="H77" s="35"/>
      <c r="I77" s="18"/>
      <c r="J77" s="35"/>
      <c r="K77" s="18"/>
      <c r="L77" s="35"/>
      <c r="M77" s="106"/>
      <c r="N77" s="19"/>
      <c r="O77" s="18"/>
      <c r="P77" s="18"/>
      <c r="Q77" s="18"/>
      <c r="R77" s="29"/>
      <c r="S77" s="22"/>
      <c r="T77" s="52"/>
      <c r="U77" s="22"/>
      <c r="V77" s="22"/>
      <c r="W77" s="22"/>
      <c r="X77" s="52"/>
    </row>
    <row r="78" spans="1:24" ht="14.25" customHeight="1">
      <c r="A78" s="97"/>
      <c r="B78" s="81"/>
      <c r="C78" s="95"/>
      <c r="D78" s="95"/>
      <c r="E78" s="108"/>
      <c r="F78" s="128"/>
      <c r="G78" s="39"/>
      <c r="H78" s="35"/>
      <c r="I78" s="17"/>
      <c r="J78" s="35"/>
      <c r="K78" s="17"/>
      <c r="L78" s="35"/>
      <c r="M78" s="17"/>
      <c r="N78" s="19"/>
      <c r="O78" s="18"/>
      <c r="P78" s="18"/>
      <c r="Q78" s="23"/>
      <c r="R78" s="29"/>
      <c r="S78" s="17"/>
      <c r="T78" s="52"/>
      <c r="U78" s="22"/>
      <c r="V78" s="22"/>
      <c r="W78" s="39"/>
      <c r="X78" s="52"/>
    </row>
    <row r="79" spans="1:24" ht="14.25" customHeight="1">
      <c r="A79" s="97"/>
      <c r="B79" s="73"/>
      <c r="C79" s="20"/>
      <c r="D79" s="20"/>
      <c r="E79" s="20"/>
      <c r="F79" s="126"/>
      <c r="G79" s="110"/>
      <c r="H79" s="35"/>
      <c r="I79" s="18"/>
      <c r="J79" s="35"/>
      <c r="K79" s="18"/>
      <c r="L79" s="35"/>
      <c r="M79" s="110"/>
      <c r="N79" s="19"/>
      <c r="O79" s="18"/>
      <c r="P79" s="18"/>
      <c r="Q79" s="110"/>
      <c r="R79" s="29"/>
      <c r="S79" s="22"/>
      <c r="T79" s="52"/>
      <c r="U79" s="22"/>
      <c r="V79" s="22"/>
      <c r="W79" s="39"/>
      <c r="X79" s="52"/>
    </row>
    <row r="80" spans="1:24" ht="14.25" customHeight="1">
      <c r="A80" s="97"/>
      <c r="B80" s="73"/>
      <c r="C80" s="98"/>
      <c r="D80" s="95"/>
      <c r="E80" s="99"/>
      <c r="F80" s="127"/>
      <c r="G80" s="102"/>
      <c r="H80" s="35"/>
      <c r="I80" s="101"/>
      <c r="J80" s="35"/>
      <c r="K80" s="101"/>
      <c r="L80" s="35"/>
      <c r="M80" s="101"/>
      <c r="N80" s="19"/>
      <c r="O80" s="122"/>
      <c r="P80" s="19"/>
      <c r="Q80" s="104"/>
      <c r="R80" s="29"/>
      <c r="S80" s="56"/>
      <c r="T80" s="52"/>
      <c r="U80" s="22"/>
      <c r="V80" s="55"/>
      <c r="W80" s="57"/>
      <c r="X80" s="52"/>
    </row>
    <row r="81" spans="1:24" ht="12.75" customHeight="1">
      <c r="A81" s="97"/>
      <c r="B81" s="73"/>
      <c r="C81" s="20"/>
      <c r="D81" s="20"/>
      <c r="E81" s="105"/>
      <c r="F81" s="126"/>
      <c r="G81" s="106"/>
      <c r="H81" s="35"/>
      <c r="I81" s="18"/>
      <c r="J81" s="35"/>
      <c r="K81" s="18"/>
      <c r="L81" s="35"/>
      <c r="M81" s="106"/>
      <c r="N81" s="19"/>
      <c r="O81" s="18"/>
      <c r="P81" s="18"/>
      <c r="Q81" s="18"/>
      <c r="R81" s="29"/>
      <c r="S81" s="22"/>
      <c r="T81" s="52"/>
      <c r="U81" s="22"/>
      <c r="V81" s="22"/>
      <c r="W81" s="22"/>
      <c r="X81" s="52"/>
    </row>
    <row r="82" spans="1:24" ht="14.25" customHeight="1">
      <c r="A82" s="97"/>
      <c r="B82" s="81"/>
      <c r="C82" s="95"/>
      <c r="D82" s="95"/>
      <c r="E82" s="108"/>
      <c r="F82" s="128"/>
      <c r="G82" s="39"/>
      <c r="H82" s="35"/>
      <c r="I82" s="17"/>
      <c r="J82" s="35"/>
      <c r="K82" s="17"/>
      <c r="L82" s="35"/>
      <c r="M82" s="17"/>
      <c r="N82" s="19"/>
      <c r="O82" s="18"/>
      <c r="P82" s="18"/>
      <c r="Q82" s="23"/>
      <c r="R82" s="29"/>
      <c r="S82" s="17"/>
      <c r="T82" s="52"/>
      <c r="U82" s="22"/>
      <c r="V82" s="22"/>
      <c r="W82" s="39"/>
      <c r="X82" s="52"/>
    </row>
    <row r="83" spans="1:24" ht="14.25" customHeight="1">
      <c r="A83" s="97"/>
      <c r="B83" s="73"/>
      <c r="C83" s="20"/>
      <c r="D83" s="20"/>
      <c r="E83" s="20"/>
      <c r="F83" s="126"/>
      <c r="G83" s="110"/>
      <c r="H83" s="35"/>
      <c r="I83" s="18"/>
      <c r="J83" s="35"/>
      <c r="K83" s="18"/>
      <c r="L83" s="35"/>
      <c r="M83" s="110"/>
      <c r="N83" s="19"/>
      <c r="O83" s="18"/>
      <c r="P83" s="18"/>
      <c r="Q83" s="110"/>
      <c r="R83" s="29"/>
      <c r="S83" s="22"/>
      <c r="T83" s="52"/>
      <c r="U83" s="22"/>
      <c r="V83" s="22"/>
      <c r="W83" s="39"/>
      <c r="X83" s="52"/>
    </row>
    <row r="84" spans="1:24" ht="14.25" customHeight="1">
      <c r="A84" s="97"/>
      <c r="B84" s="73"/>
      <c r="C84" s="98"/>
      <c r="D84" s="95"/>
      <c r="E84" s="99"/>
      <c r="F84" s="127"/>
      <c r="G84" s="102"/>
      <c r="H84" s="35"/>
      <c r="I84" s="101"/>
      <c r="J84" s="35"/>
      <c r="K84" s="101"/>
      <c r="L84" s="35"/>
      <c r="M84" s="101"/>
      <c r="N84" s="19"/>
      <c r="O84" s="122"/>
      <c r="P84" s="19"/>
      <c r="Q84" s="104"/>
      <c r="R84" s="29"/>
      <c r="S84" s="56"/>
      <c r="T84" s="52"/>
      <c r="U84" s="22"/>
      <c r="V84" s="55"/>
      <c r="W84" s="57"/>
      <c r="X84" s="52"/>
    </row>
    <row r="85" spans="1:24" ht="12.75" customHeight="1">
      <c r="A85" s="97"/>
      <c r="B85" s="73"/>
      <c r="C85" s="20"/>
      <c r="D85" s="20"/>
      <c r="E85" s="105"/>
      <c r="F85" s="126"/>
      <c r="G85" s="106"/>
      <c r="H85" s="35"/>
      <c r="I85" s="18"/>
      <c r="J85" s="35"/>
      <c r="K85" s="18"/>
      <c r="L85" s="35"/>
      <c r="M85" s="106"/>
      <c r="N85" s="19"/>
      <c r="O85" s="18"/>
      <c r="P85" s="18"/>
      <c r="Q85" s="18"/>
      <c r="R85" s="29"/>
      <c r="S85" s="22"/>
      <c r="T85" s="52"/>
      <c r="U85" s="22"/>
      <c r="V85" s="22"/>
      <c r="W85" s="22"/>
      <c r="X85" s="52"/>
    </row>
    <row r="86" spans="1:24" ht="14.25" customHeight="1">
      <c r="A86" s="97"/>
      <c r="B86" s="81"/>
      <c r="C86" s="95"/>
      <c r="D86" s="95"/>
      <c r="E86" s="108"/>
      <c r="F86" s="128"/>
      <c r="G86" s="39"/>
      <c r="H86" s="35"/>
      <c r="I86" s="17"/>
      <c r="J86" s="35"/>
      <c r="K86" s="17"/>
      <c r="L86" s="35"/>
      <c r="M86" s="17"/>
      <c r="N86" s="19"/>
      <c r="O86" s="18"/>
      <c r="P86" s="18"/>
      <c r="Q86" s="23"/>
      <c r="R86" s="29"/>
      <c r="S86" s="17"/>
      <c r="T86" s="52"/>
      <c r="U86" s="22"/>
      <c r="V86" s="22"/>
      <c r="W86" s="39"/>
      <c r="X86" s="52"/>
    </row>
    <row r="87" spans="1:24" ht="14.25" customHeight="1">
      <c r="A87" s="97"/>
      <c r="B87" s="81"/>
      <c r="C87" s="20"/>
      <c r="D87" s="20"/>
      <c r="E87" s="20"/>
      <c r="F87" s="126"/>
      <c r="G87" s="110"/>
      <c r="H87" s="35"/>
      <c r="I87" s="18"/>
      <c r="J87" s="35"/>
      <c r="K87" s="18"/>
      <c r="L87" s="35"/>
      <c r="M87" s="110"/>
      <c r="N87" s="19"/>
      <c r="O87" s="18"/>
      <c r="P87" s="18"/>
      <c r="Q87" s="110"/>
      <c r="R87" s="29"/>
      <c r="S87" s="22"/>
      <c r="T87" s="52"/>
      <c r="U87" s="22"/>
      <c r="V87" s="22"/>
      <c r="W87" s="39"/>
      <c r="X87" s="52"/>
    </row>
    <row r="88" spans="1:24" ht="14.25" customHeight="1">
      <c r="A88" s="97"/>
      <c r="B88" s="81"/>
      <c r="C88" s="98"/>
      <c r="D88" s="95"/>
      <c r="E88" s="99"/>
      <c r="F88" s="127"/>
      <c r="G88" s="102"/>
      <c r="H88" s="35"/>
      <c r="I88" s="101"/>
      <c r="J88" s="35"/>
      <c r="K88" s="101"/>
      <c r="L88" s="35"/>
      <c r="M88" s="101"/>
      <c r="N88" s="19"/>
      <c r="O88" s="122"/>
      <c r="P88" s="19"/>
      <c r="Q88" s="104"/>
      <c r="R88" s="29"/>
      <c r="S88" s="56"/>
      <c r="T88" s="52"/>
      <c r="U88" s="22"/>
      <c r="V88" s="55"/>
      <c r="W88" s="57"/>
      <c r="X88" s="52"/>
    </row>
    <row r="89" spans="1:24" ht="12.75" customHeight="1">
      <c r="A89" s="97"/>
      <c r="B89" s="81"/>
      <c r="C89" s="20"/>
      <c r="D89" s="20"/>
      <c r="E89" s="105"/>
      <c r="F89" s="126"/>
      <c r="G89" s="106"/>
      <c r="H89" s="35"/>
      <c r="I89" s="18"/>
      <c r="J89" s="35"/>
      <c r="K89" s="18"/>
      <c r="L89" s="35"/>
      <c r="M89" s="106"/>
      <c r="N89" s="19"/>
      <c r="O89" s="18"/>
      <c r="P89" s="18"/>
      <c r="Q89" s="18"/>
      <c r="R89" s="29"/>
      <c r="S89" s="22"/>
      <c r="T89" s="52"/>
      <c r="U89" s="22"/>
      <c r="V89" s="22"/>
      <c r="W89" s="22"/>
      <c r="X89" s="52"/>
    </row>
    <row r="90" spans="1:24" ht="14.25" customHeight="1">
      <c r="A90" s="97"/>
      <c r="B90" s="81"/>
      <c r="C90" s="95"/>
      <c r="D90" s="95"/>
      <c r="E90" s="108"/>
      <c r="F90" s="128"/>
      <c r="G90" s="39"/>
      <c r="H90" s="35"/>
      <c r="I90" s="17"/>
      <c r="J90" s="35"/>
      <c r="K90" s="17"/>
      <c r="L90" s="35"/>
      <c r="M90" s="17"/>
      <c r="N90" s="19"/>
      <c r="O90" s="18"/>
      <c r="P90" s="18"/>
      <c r="Q90" s="23"/>
      <c r="R90" s="29"/>
      <c r="S90" s="17"/>
      <c r="T90" s="52"/>
      <c r="U90" s="22"/>
      <c r="V90" s="22"/>
      <c r="W90" s="39"/>
      <c r="X90" s="52"/>
    </row>
    <row r="91" spans="1:24" ht="14.25" customHeight="1">
      <c r="A91" s="97"/>
      <c r="B91" s="73"/>
      <c r="C91" s="20"/>
      <c r="D91" s="20"/>
      <c r="E91" s="38"/>
      <c r="F91" s="126"/>
      <c r="G91" s="110"/>
      <c r="H91" s="35"/>
      <c r="I91" s="18"/>
      <c r="J91" s="35"/>
      <c r="K91" s="18"/>
      <c r="L91" s="35"/>
      <c r="M91" s="110"/>
      <c r="N91" s="19"/>
      <c r="O91" s="18"/>
      <c r="P91" s="18"/>
      <c r="Q91" s="110"/>
      <c r="R91" s="29"/>
      <c r="S91" s="22"/>
      <c r="T91" s="52"/>
      <c r="U91" s="22"/>
      <c r="V91" s="22"/>
      <c r="W91" s="39"/>
      <c r="X91" s="52"/>
    </row>
    <row r="92" spans="1:23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1:23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1:19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</sheetData>
  <sheetProtection/>
  <printOptions/>
  <pageMargins left="0.2755905511811024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81"/>
  <sheetViews>
    <sheetView zoomScale="140" zoomScaleNormal="140" workbookViewId="0" topLeftCell="A14">
      <selection activeCell="D9" sqref="D9"/>
    </sheetView>
  </sheetViews>
  <sheetFormatPr defaultColWidth="9.140625" defaultRowHeight="12.75"/>
  <cols>
    <col min="1" max="2" width="7.7109375" style="0" customWidth="1"/>
    <col min="3" max="3" width="4.7109375" style="0" customWidth="1"/>
    <col min="4" max="4" width="19.7109375" style="0" customWidth="1"/>
    <col min="5" max="5" width="13.7109375" style="0" customWidth="1"/>
    <col min="6" max="6" width="0.85546875" style="0" customWidth="1"/>
    <col min="7" max="7" width="7.7109375" style="0" customWidth="1"/>
    <col min="8" max="8" width="0.85546875" style="0" customWidth="1"/>
    <col min="9" max="9" width="7.7109375" style="0" customWidth="1"/>
    <col min="10" max="10" width="0.85546875" style="0" customWidth="1"/>
    <col min="11" max="11" width="7.7109375" style="0" customWidth="1"/>
    <col min="12" max="12" width="0.85546875" style="0" customWidth="1"/>
    <col min="13" max="13" width="7.7109375" style="0" customWidth="1"/>
    <col min="14" max="14" width="0.85546875" style="0" customWidth="1"/>
    <col min="15" max="15" width="2.57421875" style="0" customWidth="1"/>
    <col min="16" max="16" width="0.85546875" style="0" customWidth="1"/>
    <col min="17" max="17" width="5.421875" style="0" customWidth="1"/>
    <col min="18" max="18" width="0.85546875" style="0" customWidth="1"/>
    <col min="19" max="19" width="7.7109375" style="0" customWidth="1"/>
    <col min="20" max="20" width="0.85546875" style="0" customWidth="1"/>
    <col min="21" max="21" width="2.57421875" style="0" customWidth="1"/>
    <col min="22" max="22" width="0.85546875" style="0" customWidth="1"/>
    <col min="23" max="23" width="5.421875" style="0" customWidth="1"/>
    <col min="24" max="24" width="0.85546875" style="0" customWidth="1"/>
    <col min="26" max="26" width="0.85546875" style="0" customWidth="1"/>
  </cols>
  <sheetData>
    <row r="1" spans="1:2" ht="15.75">
      <c r="A1" s="1" t="s">
        <v>105</v>
      </c>
      <c r="B1" s="1"/>
    </row>
    <row r="2" spans="1:2" ht="15.75">
      <c r="A2" s="1" t="s">
        <v>31</v>
      </c>
      <c r="B2" s="1"/>
    </row>
    <row r="3" spans="1:2" ht="15.75">
      <c r="A3" s="1" t="s">
        <v>120</v>
      </c>
      <c r="B3" s="1"/>
    </row>
    <row r="4" spans="1:2" ht="5.25" customHeight="1">
      <c r="A4" s="1"/>
      <c r="B4" s="1"/>
    </row>
    <row r="5" spans="5:9" ht="12.75">
      <c r="E5" s="148" t="s">
        <v>72</v>
      </c>
      <c r="G5" s="147">
        <v>2615</v>
      </c>
      <c r="I5" s="149" t="s">
        <v>76</v>
      </c>
    </row>
    <row r="6" spans="1:2" ht="15.75">
      <c r="A6" s="6" t="s">
        <v>51</v>
      </c>
      <c r="B6" s="6"/>
    </row>
    <row r="7" spans="1:24" ht="12.75">
      <c r="A7" s="41" t="s">
        <v>29</v>
      </c>
      <c r="B7" s="41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5:24" ht="12.75">
      <c r="E8" s="16"/>
      <c r="F8" s="16"/>
      <c r="G8" s="13" t="s">
        <v>3</v>
      </c>
      <c r="H8" s="42"/>
      <c r="I8" s="13" t="s">
        <v>17</v>
      </c>
      <c r="J8" s="13"/>
      <c r="K8" s="13" t="s">
        <v>50</v>
      </c>
      <c r="L8" s="42"/>
      <c r="M8" s="13" t="s">
        <v>4</v>
      </c>
      <c r="N8" s="13"/>
      <c r="O8" s="13"/>
      <c r="P8" s="13"/>
      <c r="Q8" s="13" t="s">
        <v>15</v>
      </c>
      <c r="R8" s="13"/>
      <c r="S8" s="42"/>
      <c r="T8" s="42"/>
      <c r="U8" s="42"/>
      <c r="V8" s="42"/>
      <c r="W8" s="43"/>
      <c r="X8" s="16"/>
    </row>
    <row r="9" spans="1:24" ht="14.25" customHeight="1">
      <c r="A9" s="13" t="s">
        <v>48</v>
      </c>
      <c r="B9" s="58"/>
      <c r="C9" s="62" t="s">
        <v>21</v>
      </c>
      <c r="D9" s="11" t="s">
        <v>9</v>
      </c>
      <c r="E9" s="60" t="s">
        <v>20</v>
      </c>
      <c r="F9" s="16"/>
      <c r="G9" s="21" t="s">
        <v>23</v>
      </c>
      <c r="H9" s="45"/>
      <c r="I9" s="21" t="s">
        <v>23</v>
      </c>
      <c r="J9" s="12"/>
      <c r="K9" s="21" t="s">
        <v>22</v>
      </c>
      <c r="L9" s="45"/>
      <c r="M9" s="21" t="s">
        <v>23</v>
      </c>
      <c r="N9" s="12"/>
      <c r="O9" s="12"/>
      <c r="P9" s="12"/>
      <c r="Q9" s="21" t="s">
        <v>22</v>
      </c>
      <c r="R9" s="12"/>
      <c r="S9" s="44"/>
      <c r="T9" s="45"/>
      <c r="U9" s="45"/>
      <c r="V9" s="45"/>
      <c r="W9" s="44"/>
      <c r="X9" s="16"/>
    </row>
    <row r="10" spans="1:24" ht="12.75">
      <c r="A10" s="13" t="s">
        <v>2</v>
      </c>
      <c r="B10" s="58"/>
      <c r="E10" s="10"/>
      <c r="F10" s="46"/>
      <c r="G10" s="14"/>
      <c r="H10" s="48"/>
      <c r="I10" s="14" t="s">
        <v>11</v>
      </c>
      <c r="J10" s="7"/>
      <c r="K10" s="14" t="s">
        <v>11</v>
      </c>
      <c r="L10" s="48"/>
      <c r="M10" s="14"/>
      <c r="N10" s="7"/>
      <c r="O10" s="7"/>
      <c r="P10" s="7"/>
      <c r="Q10" s="14"/>
      <c r="R10" s="7"/>
      <c r="S10" s="47"/>
      <c r="T10" s="48"/>
      <c r="U10" s="48"/>
      <c r="V10" s="48"/>
      <c r="W10" s="47"/>
      <c r="X10" s="16"/>
    </row>
    <row r="11" spans="3:24" ht="14.25" customHeight="1">
      <c r="C11" s="11" t="s">
        <v>10</v>
      </c>
      <c r="E11" s="61" t="s">
        <v>19</v>
      </c>
      <c r="F11" s="48"/>
      <c r="G11" s="14" t="s">
        <v>12</v>
      </c>
      <c r="H11" s="48"/>
      <c r="I11" s="14" t="s">
        <v>12</v>
      </c>
      <c r="J11" s="7"/>
      <c r="K11" s="14" t="s">
        <v>12</v>
      </c>
      <c r="L11" s="48"/>
      <c r="M11" s="14" t="s">
        <v>12</v>
      </c>
      <c r="N11" s="7"/>
      <c r="O11" s="7"/>
      <c r="P11" s="7"/>
      <c r="Q11" s="14" t="s">
        <v>12</v>
      </c>
      <c r="R11" s="7"/>
      <c r="S11" s="47"/>
      <c r="T11" s="48"/>
      <c r="U11" s="48"/>
      <c r="V11" s="48"/>
      <c r="W11" s="47"/>
      <c r="X11" s="16"/>
    </row>
    <row r="12" spans="1:24" ht="12.75">
      <c r="A12" s="8"/>
      <c r="B12" s="8"/>
      <c r="C12" s="8"/>
      <c r="D12" s="8"/>
      <c r="E12" s="8"/>
      <c r="F12" s="49"/>
      <c r="G12" s="15" t="s">
        <v>13</v>
      </c>
      <c r="H12" s="50"/>
      <c r="I12" s="15" t="s">
        <v>13</v>
      </c>
      <c r="J12" s="9"/>
      <c r="K12" s="15" t="s">
        <v>13</v>
      </c>
      <c r="L12" s="50"/>
      <c r="M12" s="15" t="s">
        <v>13</v>
      </c>
      <c r="N12" s="9"/>
      <c r="O12" s="9"/>
      <c r="P12" s="9"/>
      <c r="Q12" s="15" t="s">
        <v>13</v>
      </c>
      <c r="R12" s="9"/>
      <c r="S12" s="22"/>
      <c r="T12" s="55"/>
      <c r="U12" s="55"/>
      <c r="V12" s="55"/>
      <c r="W12" s="22"/>
      <c r="X12" s="16"/>
    </row>
    <row r="13" spans="1:24" ht="14.25" customHeight="1">
      <c r="A13" s="31"/>
      <c r="B13" s="73"/>
      <c r="C13" s="181">
        <v>820</v>
      </c>
      <c r="D13" s="130" t="s">
        <v>267</v>
      </c>
      <c r="E13" s="145" t="s">
        <v>369</v>
      </c>
      <c r="F13" s="51">
        <v>21</v>
      </c>
      <c r="G13" s="83">
        <v>23.34</v>
      </c>
      <c r="H13" s="34">
        <f>G15</f>
        <v>363</v>
      </c>
      <c r="I13" s="83">
        <v>4.24</v>
      </c>
      <c r="J13" s="34">
        <f>G16+I15</f>
        <v>943</v>
      </c>
      <c r="K13" s="82">
        <v>28.7</v>
      </c>
      <c r="L13" s="34">
        <f>I16+K15</f>
        <v>1625</v>
      </c>
      <c r="M13" s="83">
        <v>22.31</v>
      </c>
      <c r="N13" s="27">
        <f>K16+M15</f>
        <v>1946</v>
      </c>
      <c r="O13" s="84">
        <v>2</v>
      </c>
      <c r="P13" s="7" t="s">
        <v>25</v>
      </c>
      <c r="Q13" s="184" t="s">
        <v>363</v>
      </c>
      <c r="R13" s="28">
        <f>M16+Q15</f>
        <v>2574</v>
      </c>
      <c r="S13" s="56"/>
      <c r="T13" s="52"/>
      <c r="U13" s="22"/>
      <c r="V13" s="55"/>
      <c r="W13" s="57"/>
      <c r="X13" s="52"/>
    </row>
    <row r="14" spans="1:24" ht="14.25" customHeight="1">
      <c r="A14" s="32">
        <v>1</v>
      </c>
      <c r="B14" s="74"/>
      <c r="D14" s="43" t="s">
        <v>84</v>
      </c>
      <c r="E14" s="10"/>
      <c r="F14" s="51">
        <v>22</v>
      </c>
      <c r="G14" s="14"/>
      <c r="H14" s="35">
        <f>G15</f>
        <v>363</v>
      </c>
      <c r="I14" s="85"/>
      <c r="J14" s="35">
        <f>G16+I15</f>
        <v>943</v>
      </c>
      <c r="K14" s="85"/>
      <c r="L14" s="35">
        <f>I16+K15</f>
        <v>1625</v>
      </c>
      <c r="M14" s="14"/>
      <c r="N14" s="19">
        <f>K16+M15</f>
        <v>1946</v>
      </c>
      <c r="O14" s="14"/>
      <c r="P14" s="14"/>
      <c r="Q14" s="14"/>
      <c r="R14" s="29">
        <f>M16+Q15</f>
        <v>2574</v>
      </c>
      <c r="S14" s="22"/>
      <c r="T14" s="52"/>
      <c r="U14" s="22"/>
      <c r="V14" s="22"/>
      <c r="W14" s="22"/>
      <c r="X14" s="52"/>
    </row>
    <row r="15" spans="1:24" ht="14.25" customHeight="1">
      <c r="A15" s="32"/>
      <c r="B15" s="79"/>
      <c r="C15" s="11" t="s">
        <v>80</v>
      </c>
      <c r="D15" s="11"/>
      <c r="E15" s="25">
        <f>R16</f>
        <v>2574</v>
      </c>
      <c r="F15" s="46">
        <v>23</v>
      </c>
      <c r="G15" s="17">
        <f>ROUNDDOWN(12.91*((G13*1.0628)-4)^1.1,0)</f>
        <v>363</v>
      </c>
      <c r="H15" s="35">
        <f>G15</f>
        <v>363</v>
      </c>
      <c r="I15" s="17">
        <f>ROUNDDOWN(0.14354*(100*(I13*1.4078)-220)^1.4,0)</f>
        <v>580</v>
      </c>
      <c r="J15" s="35">
        <f>G16+I15</f>
        <v>943</v>
      </c>
      <c r="K15" s="39">
        <f>IF(K13=0,0,TRUNC(5.8425*((37.76-(K13*0.8322))^1.81)))</f>
        <v>682</v>
      </c>
      <c r="L15" s="35">
        <f>I16+K15</f>
        <v>1625</v>
      </c>
      <c r="M15" s="17">
        <f>ROUNDDOWN(10.14*((M13*1.414)-7)^1.08,0)</f>
        <v>321</v>
      </c>
      <c r="N15" s="19">
        <f>K16+M15</f>
        <v>1946</v>
      </c>
      <c r="O15" s="14"/>
      <c r="P15" s="14"/>
      <c r="Q15" s="23">
        <f>IF(O13+Q13=0,0,TRUNC(0.13279*((235-((O13*60+Q13)*0.7998))^1.85)))</f>
        <v>628</v>
      </c>
      <c r="R15" s="29">
        <f>M16+Q15</f>
        <v>2574</v>
      </c>
      <c r="S15" s="17"/>
      <c r="T15" s="52"/>
      <c r="U15" s="22"/>
      <c r="V15" s="22"/>
      <c r="W15" s="39"/>
      <c r="X15" s="52"/>
    </row>
    <row r="16" spans="1:24" ht="14.25" customHeight="1">
      <c r="A16" s="33"/>
      <c r="B16" s="76"/>
      <c r="C16" s="8"/>
      <c r="D16" s="8"/>
      <c r="E16" s="8"/>
      <c r="F16" s="51">
        <v>24</v>
      </c>
      <c r="G16" s="15">
        <f>E16+G15</f>
        <v>363</v>
      </c>
      <c r="H16" s="36">
        <f>G15</f>
        <v>363</v>
      </c>
      <c r="I16" s="24">
        <f>G16+I15</f>
        <v>943</v>
      </c>
      <c r="J16" s="35">
        <f>G16+I15</f>
        <v>943</v>
      </c>
      <c r="K16" s="24">
        <f>I16+K15</f>
        <v>1625</v>
      </c>
      <c r="L16" s="35">
        <f>I16+K15</f>
        <v>1625</v>
      </c>
      <c r="M16" s="15">
        <f>K16+M15</f>
        <v>1946</v>
      </c>
      <c r="N16" s="19">
        <f>K16+M15</f>
        <v>1946</v>
      </c>
      <c r="O16" s="15"/>
      <c r="P16" s="15"/>
      <c r="Q16" s="24">
        <f>M16+Q15</f>
        <v>2574</v>
      </c>
      <c r="R16" s="29">
        <f>M16+Q15</f>
        <v>2574</v>
      </c>
      <c r="S16" s="22"/>
      <c r="T16" s="52"/>
      <c r="U16" s="22"/>
      <c r="V16" s="22"/>
      <c r="W16" s="39"/>
      <c r="X16" s="52"/>
    </row>
    <row r="17" spans="1:24" ht="14.25" customHeight="1">
      <c r="A17" s="31"/>
      <c r="B17" s="73"/>
      <c r="C17" s="181">
        <v>819</v>
      </c>
      <c r="D17" s="130" t="s">
        <v>266</v>
      </c>
      <c r="E17" s="145" t="s">
        <v>370</v>
      </c>
      <c r="F17" s="46">
        <v>17</v>
      </c>
      <c r="G17" s="83">
        <v>17.45</v>
      </c>
      <c r="H17" s="34">
        <f>G19</f>
        <v>260</v>
      </c>
      <c r="I17" s="83">
        <v>3.77</v>
      </c>
      <c r="J17" s="34">
        <f>G20+I19</f>
        <v>632</v>
      </c>
      <c r="K17" s="82">
        <v>31.5</v>
      </c>
      <c r="L17" s="34">
        <f>I20+K19</f>
        <v>1048</v>
      </c>
      <c r="M17" s="83">
        <v>23.2</v>
      </c>
      <c r="N17" s="27">
        <f>K20+M19</f>
        <v>1362</v>
      </c>
      <c r="O17" s="84">
        <v>2</v>
      </c>
      <c r="P17" s="7" t="s">
        <v>25</v>
      </c>
      <c r="Q17" s="184" t="s">
        <v>365</v>
      </c>
      <c r="R17" s="28">
        <f>M20+Q19</f>
        <v>1973</v>
      </c>
      <c r="S17" s="56"/>
      <c r="T17" s="52"/>
      <c r="U17" s="22"/>
      <c r="V17" s="55"/>
      <c r="W17" s="57"/>
      <c r="X17" s="52"/>
    </row>
    <row r="18" spans="1:24" ht="14.25" customHeight="1">
      <c r="A18" s="32">
        <v>2</v>
      </c>
      <c r="B18" s="74"/>
      <c r="D18" s="43" t="s">
        <v>83</v>
      </c>
      <c r="E18" s="10"/>
      <c r="F18" s="51">
        <v>18</v>
      </c>
      <c r="G18" s="14"/>
      <c r="H18" s="35">
        <f>G19</f>
        <v>260</v>
      </c>
      <c r="I18" s="85"/>
      <c r="J18" s="35">
        <f>G20+I19</f>
        <v>632</v>
      </c>
      <c r="K18" s="85"/>
      <c r="L18" s="35">
        <f>I20+K19</f>
        <v>1048</v>
      </c>
      <c r="M18" s="14"/>
      <c r="N18" s="19">
        <f>K20+M19</f>
        <v>1362</v>
      </c>
      <c r="O18" s="14"/>
      <c r="P18" s="14"/>
      <c r="Q18" s="14"/>
      <c r="R18" s="29">
        <f>M20+Q19</f>
        <v>1973</v>
      </c>
      <c r="S18" s="22"/>
      <c r="T18" s="52"/>
      <c r="U18" s="22"/>
      <c r="V18" s="22"/>
      <c r="W18" s="22"/>
      <c r="X18" s="52"/>
    </row>
    <row r="19" spans="1:24" ht="14.25" customHeight="1">
      <c r="A19" s="32"/>
      <c r="B19" s="79"/>
      <c r="C19" s="11" t="s">
        <v>257</v>
      </c>
      <c r="E19" s="25">
        <f>R20</f>
        <v>1973</v>
      </c>
      <c r="F19" s="51">
        <v>19</v>
      </c>
      <c r="G19" s="17">
        <f>ROUNDDOWN(12.91*((G17*1.1103)-4)^1.1,0)</f>
        <v>260</v>
      </c>
      <c r="H19" s="35">
        <f>G19</f>
        <v>260</v>
      </c>
      <c r="I19" s="17">
        <f>ROUNDDOWN(0.14354*(100*(I17*1.3121)-220)^1.4,0)</f>
        <v>372</v>
      </c>
      <c r="J19" s="35">
        <f>G20+I19</f>
        <v>632</v>
      </c>
      <c r="K19" s="39">
        <f>IF(K17=0,0,TRUNC(5.8425*((37.76-(K17*0.8633))^1.81)))</f>
        <v>416</v>
      </c>
      <c r="L19" s="35">
        <f>I20+K19</f>
        <v>1048</v>
      </c>
      <c r="M19" s="17">
        <f>ROUNDDOWN(10.14*((M17*1.338)-7)^1.08,0)</f>
        <v>314</v>
      </c>
      <c r="N19" s="19">
        <f>K20+M19</f>
        <v>1362</v>
      </c>
      <c r="O19" s="14"/>
      <c r="P19" s="14"/>
      <c r="Q19" s="23">
        <f>IF(O17+Q17=0,0,TRUNC(0.13279*((235-((O17*60+Q17)*0.849))^1.85)))</f>
        <v>611</v>
      </c>
      <c r="R19" s="29">
        <f>M20+Q19</f>
        <v>1973</v>
      </c>
      <c r="S19" s="17"/>
      <c r="T19" s="52"/>
      <c r="U19" s="22"/>
      <c r="V19" s="22"/>
      <c r="W19" s="39"/>
      <c r="X19" s="52"/>
    </row>
    <row r="20" spans="1:24" ht="14.25" customHeight="1">
      <c r="A20" s="33"/>
      <c r="B20" s="76"/>
      <c r="C20" s="8"/>
      <c r="D20" s="8"/>
      <c r="E20" s="8"/>
      <c r="F20" s="46">
        <v>20</v>
      </c>
      <c r="G20" s="15">
        <f>E20+G19</f>
        <v>260</v>
      </c>
      <c r="H20" s="36">
        <f>G19</f>
        <v>260</v>
      </c>
      <c r="I20" s="24">
        <f>G20+I19</f>
        <v>632</v>
      </c>
      <c r="J20" s="35">
        <f>G20+I19</f>
        <v>632</v>
      </c>
      <c r="K20" s="24">
        <f>I20+K19</f>
        <v>1048</v>
      </c>
      <c r="L20" s="35">
        <f>I20+K19</f>
        <v>1048</v>
      </c>
      <c r="M20" s="15">
        <f>K20+M19</f>
        <v>1362</v>
      </c>
      <c r="N20" s="19">
        <f>K20+M19</f>
        <v>1362</v>
      </c>
      <c r="O20" s="15"/>
      <c r="P20" s="15"/>
      <c r="Q20" s="24">
        <f>M20+Q19</f>
        <v>1973</v>
      </c>
      <c r="R20" s="29">
        <f>M20+Q19</f>
        <v>1973</v>
      </c>
      <c r="S20" s="22"/>
      <c r="T20" s="52"/>
      <c r="U20" s="22"/>
      <c r="V20" s="22"/>
      <c r="W20" s="39"/>
      <c r="X20" s="52"/>
    </row>
    <row r="21" spans="1:24" ht="14.25" customHeight="1">
      <c r="A21" s="31"/>
      <c r="B21" s="73"/>
      <c r="C21" s="181">
        <v>818</v>
      </c>
      <c r="D21" s="130" t="s">
        <v>264</v>
      </c>
      <c r="E21" s="145" t="s">
        <v>371</v>
      </c>
      <c r="F21" s="51">
        <v>13</v>
      </c>
      <c r="G21" s="83">
        <v>20.98</v>
      </c>
      <c r="H21" s="137">
        <f>G23</f>
        <v>372</v>
      </c>
      <c r="I21" s="83">
        <v>4.62</v>
      </c>
      <c r="J21" s="137">
        <f>G24+I23</f>
        <v>820</v>
      </c>
      <c r="K21" s="82">
        <v>27.5</v>
      </c>
      <c r="L21" s="137">
        <f>I24+K23</f>
        <v>1373</v>
      </c>
      <c r="M21" s="83">
        <v>22.54</v>
      </c>
      <c r="N21" s="27">
        <f>K24+M23</f>
        <v>1622</v>
      </c>
      <c r="O21" s="84">
        <v>3</v>
      </c>
      <c r="P21" s="7" t="s">
        <v>25</v>
      </c>
      <c r="Q21" s="184" t="s">
        <v>364</v>
      </c>
      <c r="R21" s="28">
        <f>M24+Q23</f>
        <v>1909</v>
      </c>
      <c r="S21" s="20"/>
      <c r="T21" s="52"/>
      <c r="U21" s="22"/>
      <c r="V21" s="55"/>
      <c r="W21" s="57"/>
      <c r="X21" s="52"/>
    </row>
    <row r="22" spans="1:24" ht="14.25" customHeight="1">
      <c r="A22" s="32">
        <v>3</v>
      </c>
      <c r="B22" s="74"/>
      <c r="D22" s="90" t="s">
        <v>49</v>
      </c>
      <c r="E22" s="10"/>
      <c r="F22" s="46">
        <v>14</v>
      </c>
      <c r="G22" s="14"/>
      <c r="H22" s="138">
        <f>G23</f>
        <v>372</v>
      </c>
      <c r="I22" s="85"/>
      <c r="J22" s="138">
        <f>G24+I23</f>
        <v>820</v>
      </c>
      <c r="K22" s="85"/>
      <c r="L22" s="138">
        <f>I24+K23</f>
        <v>1373</v>
      </c>
      <c r="M22" s="14"/>
      <c r="N22" s="19">
        <f>K24+M23</f>
        <v>1622</v>
      </c>
      <c r="O22" s="14"/>
      <c r="P22" s="14"/>
      <c r="Q22" s="14"/>
      <c r="R22" s="29">
        <f>M24+Q23</f>
        <v>1909</v>
      </c>
      <c r="S22" s="20"/>
      <c r="T22" s="52"/>
      <c r="U22" s="22"/>
      <c r="V22" s="22"/>
      <c r="W22" s="22"/>
      <c r="X22" s="52"/>
    </row>
    <row r="23" spans="1:24" ht="14.25" customHeight="1">
      <c r="A23" s="32"/>
      <c r="B23" s="79"/>
      <c r="C23" s="11" t="s">
        <v>265</v>
      </c>
      <c r="D23" s="11"/>
      <c r="E23" s="25">
        <f>R24</f>
        <v>1909</v>
      </c>
      <c r="F23" s="51">
        <v>15</v>
      </c>
      <c r="G23" s="139">
        <f>ROUNDDOWN(12.91*((G21*1.2049)-4)^1.1,0)</f>
        <v>372</v>
      </c>
      <c r="H23" s="138">
        <f>G23</f>
        <v>372</v>
      </c>
      <c r="I23" s="139">
        <f>ROUNDDOWN(0.14354*(100*(I21*1.1551)-220)^1.4,0)</f>
        <v>448</v>
      </c>
      <c r="J23" s="138">
        <f>G24+I23</f>
        <v>820</v>
      </c>
      <c r="K23" s="39">
        <f>IF(K21=0,0,TRUNC(5.8425*((37.76-(K21*0.9235))^1.81)))</f>
        <v>553</v>
      </c>
      <c r="L23" s="138">
        <f>I24+K23</f>
        <v>1373</v>
      </c>
      <c r="M23" s="139">
        <f>ROUNDDOWN(10.14*((M21*1.1716)-7)^1.08,0)</f>
        <v>249</v>
      </c>
      <c r="N23" s="19">
        <f>K24+M23</f>
        <v>1622</v>
      </c>
      <c r="O23" s="14"/>
      <c r="P23" s="14"/>
      <c r="Q23" s="140">
        <f>IF(O21+Q21=0,0,TRUNC(0.13279*((235-((O21*60+Q21)*0.9203))^1.85)))</f>
        <v>287</v>
      </c>
      <c r="R23" s="29">
        <f>M24+Q23</f>
        <v>1909</v>
      </c>
      <c r="T23" s="52"/>
      <c r="U23" s="22"/>
      <c r="V23" s="22"/>
      <c r="W23" s="39"/>
      <c r="X23" s="52"/>
    </row>
    <row r="24" spans="1:24" ht="14.25" customHeight="1">
      <c r="A24" s="33"/>
      <c r="B24" s="76"/>
      <c r="C24" s="8"/>
      <c r="D24" s="8"/>
      <c r="E24" s="8"/>
      <c r="F24" s="51">
        <v>16</v>
      </c>
      <c r="G24" s="15">
        <f>E24+G23</f>
        <v>372</v>
      </c>
      <c r="H24" s="141">
        <f>G23</f>
        <v>372</v>
      </c>
      <c r="I24" s="24">
        <f>G24+I23</f>
        <v>820</v>
      </c>
      <c r="J24" s="138">
        <f>G24+I23</f>
        <v>820</v>
      </c>
      <c r="K24" s="24">
        <f>I24+K23</f>
        <v>1373</v>
      </c>
      <c r="L24" s="138">
        <f>I24+K23</f>
        <v>1373</v>
      </c>
      <c r="M24" s="15">
        <f>K24+M23</f>
        <v>1622</v>
      </c>
      <c r="N24" s="19">
        <f>K24+M23</f>
        <v>1622</v>
      </c>
      <c r="O24" s="15"/>
      <c r="P24" s="15"/>
      <c r="Q24" s="24">
        <f>M24+Q23</f>
        <v>1909</v>
      </c>
      <c r="R24" s="29">
        <f>M24+Q23</f>
        <v>1909</v>
      </c>
      <c r="T24" s="52"/>
      <c r="U24" s="22"/>
      <c r="V24" s="22"/>
      <c r="W24" s="39"/>
      <c r="X24" s="52"/>
    </row>
    <row r="25" spans="1:19" ht="14.25" customHeight="1">
      <c r="A25" s="31"/>
      <c r="B25" s="73"/>
      <c r="C25" s="181">
        <v>815</v>
      </c>
      <c r="D25" s="130" t="s">
        <v>262</v>
      </c>
      <c r="E25" s="145" t="s">
        <v>372</v>
      </c>
      <c r="F25" s="51">
        <v>1</v>
      </c>
      <c r="G25" s="83">
        <v>12.22</v>
      </c>
      <c r="H25" s="137">
        <f>G27</f>
        <v>152</v>
      </c>
      <c r="I25" s="83">
        <v>3.69</v>
      </c>
      <c r="J25" s="137">
        <f>G28+I27</f>
        <v>361</v>
      </c>
      <c r="K25" s="82">
        <v>28.6</v>
      </c>
      <c r="L25" s="137">
        <f>I28+K27</f>
        <v>772</v>
      </c>
      <c r="M25" s="83">
        <v>15.13</v>
      </c>
      <c r="N25" s="27">
        <f>K28+M27</f>
        <v>886</v>
      </c>
      <c r="O25" s="84">
        <v>2</v>
      </c>
      <c r="P25" s="7" t="s">
        <v>25</v>
      </c>
      <c r="Q25" s="184" t="s">
        <v>367</v>
      </c>
      <c r="R25" s="28">
        <f>M28+Q27</f>
        <v>1421</v>
      </c>
      <c r="S25" s="56"/>
    </row>
    <row r="26" spans="1:19" ht="14.25" customHeight="1">
      <c r="A26" s="32">
        <v>4</v>
      </c>
      <c r="B26" s="74"/>
      <c r="D26" s="43" t="s">
        <v>81</v>
      </c>
      <c r="E26" s="10"/>
      <c r="F26" s="46">
        <v>2</v>
      </c>
      <c r="G26" s="14"/>
      <c r="H26" s="138">
        <f>G27</f>
        <v>152</v>
      </c>
      <c r="I26" s="85"/>
      <c r="J26" s="138">
        <f>G28+I27</f>
        <v>361</v>
      </c>
      <c r="K26" s="85"/>
      <c r="L26" s="138">
        <f>I28+K27</f>
        <v>772</v>
      </c>
      <c r="M26" s="14"/>
      <c r="N26" s="19">
        <f>K28+M27</f>
        <v>886</v>
      </c>
      <c r="O26" s="14"/>
      <c r="P26" s="14"/>
      <c r="Q26" s="14"/>
      <c r="R26" s="29">
        <f>M28+Q27</f>
        <v>1421</v>
      </c>
      <c r="S26" s="22"/>
    </row>
    <row r="27" spans="1:19" ht="14.25" customHeight="1">
      <c r="A27" s="32"/>
      <c r="B27" s="78"/>
      <c r="C27" s="11" t="s">
        <v>57</v>
      </c>
      <c r="D27" s="11"/>
      <c r="E27" s="25">
        <f>R28</f>
        <v>1421</v>
      </c>
      <c r="F27" s="51">
        <v>3</v>
      </c>
      <c r="G27" s="139">
        <f>ROUNDDOWN(12.91*((G25*1.1014)-4)^1.1,0)</f>
        <v>152</v>
      </c>
      <c r="H27" s="138">
        <f>G27</f>
        <v>152</v>
      </c>
      <c r="I27" s="139">
        <f>ROUNDDOWN(0.14354*(100*(I25*1.0899)-220)^1.4,0)</f>
        <v>209</v>
      </c>
      <c r="J27" s="138">
        <f>G28+I27</f>
        <v>361</v>
      </c>
      <c r="K27" s="39">
        <f>IF(K25=0,0,TRUNC(5.8425*((37.76-(K25*0.9536))^1.81)))</f>
        <v>411</v>
      </c>
      <c r="L27" s="138">
        <f>I28+K27</f>
        <v>772</v>
      </c>
      <c r="M27" s="139">
        <f>ROUNDDOWN(10.14*((M25*1.0862)-7)^1.08,0)</f>
        <v>114</v>
      </c>
      <c r="N27" s="19">
        <f>K28+M27</f>
        <v>886</v>
      </c>
      <c r="O27" s="14"/>
      <c r="P27" s="14"/>
      <c r="Q27" s="140">
        <f>IF(O25+Q25=0,0,TRUNC(0.13279*((235-((O25*60+Q25)*0.956))^1.85)))</f>
        <v>535</v>
      </c>
      <c r="R27" s="29">
        <f>M28+Q27</f>
        <v>1421</v>
      </c>
      <c r="S27" s="17"/>
    </row>
    <row r="28" spans="1:19" ht="14.25" customHeight="1">
      <c r="A28" s="33"/>
      <c r="B28" s="76"/>
      <c r="C28" s="8"/>
      <c r="D28" s="8"/>
      <c r="E28" s="8"/>
      <c r="F28" s="51">
        <v>4</v>
      </c>
      <c r="G28" s="15">
        <f>E28+G27</f>
        <v>152</v>
      </c>
      <c r="H28" s="141">
        <f>G27</f>
        <v>152</v>
      </c>
      <c r="I28" s="24">
        <f>G28+I27</f>
        <v>361</v>
      </c>
      <c r="J28" s="138">
        <f>G28+I27</f>
        <v>361</v>
      </c>
      <c r="K28" s="24">
        <f>I28+K27</f>
        <v>772</v>
      </c>
      <c r="L28" s="138">
        <f>I28+K27</f>
        <v>772</v>
      </c>
      <c r="M28" s="15">
        <f>K28+M27</f>
        <v>886</v>
      </c>
      <c r="N28" s="19">
        <f>K28+M27</f>
        <v>886</v>
      </c>
      <c r="O28" s="15"/>
      <c r="P28" s="15"/>
      <c r="Q28" s="24">
        <f>M28+Q27</f>
        <v>1421</v>
      </c>
      <c r="R28" s="29">
        <f>M28+Q27</f>
        <v>1421</v>
      </c>
      <c r="S28" s="22"/>
    </row>
    <row r="29" spans="1:19" ht="14.25" customHeight="1">
      <c r="A29" s="31"/>
      <c r="B29" s="73"/>
      <c r="C29" s="181">
        <v>816</v>
      </c>
      <c r="D29" s="130" t="s">
        <v>263</v>
      </c>
      <c r="E29" s="145" t="s">
        <v>373</v>
      </c>
      <c r="F29" s="46">
        <v>5</v>
      </c>
      <c r="G29" s="83">
        <v>16.9</v>
      </c>
      <c r="H29" s="137">
        <f>G31</f>
        <v>279</v>
      </c>
      <c r="I29" s="83">
        <v>3.48</v>
      </c>
      <c r="J29" s="137">
        <f>G32+I31</f>
        <v>488</v>
      </c>
      <c r="K29" s="82">
        <v>33.1</v>
      </c>
      <c r="L29" s="137">
        <f>I32+K31</f>
        <v>695</v>
      </c>
      <c r="M29" s="83">
        <v>21.52</v>
      </c>
      <c r="N29" s="27">
        <f>K32+M31</f>
        <v>927</v>
      </c>
      <c r="O29" s="84">
        <v>2</v>
      </c>
      <c r="P29" s="7" t="s">
        <v>25</v>
      </c>
      <c r="Q29" s="184" t="s">
        <v>366</v>
      </c>
      <c r="R29" s="28">
        <f>M32+Q31</f>
        <v>1342</v>
      </c>
      <c r="S29" s="56"/>
    </row>
    <row r="30" spans="1:19" ht="14.25" customHeight="1">
      <c r="A30" s="32">
        <v>5</v>
      </c>
      <c r="B30" s="74"/>
      <c r="D30" s="90" t="s">
        <v>49</v>
      </c>
      <c r="E30" s="10"/>
      <c r="F30" s="51">
        <v>6</v>
      </c>
      <c r="G30" s="14"/>
      <c r="H30" s="138">
        <f>G31</f>
        <v>279</v>
      </c>
      <c r="I30" s="85"/>
      <c r="J30" s="138">
        <f>G32+I31</f>
        <v>488</v>
      </c>
      <c r="K30" s="85"/>
      <c r="L30" s="138">
        <f>I32+K31</f>
        <v>695</v>
      </c>
      <c r="M30" s="14"/>
      <c r="N30" s="19">
        <f>K32+M31</f>
        <v>927</v>
      </c>
      <c r="O30" s="14"/>
      <c r="P30" s="14"/>
      <c r="Q30" s="14"/>
      <c r="R30" s="29">
        <f>M32+Q31</f>
        <v>1342</v>
      </c>
      <c r="S30" s="22"/>
    </row>
    <row r="31" spans="1:19" ht="14.25" customHeight="1">
      <c r="A31" s="32"/>
      <c r="B31" s="79"/>
      <c r="C31" s="11" t="s">
        <v>257</v>
      </c>
      <c r="D31" s="11"/>
      <c r="E31" s="25">
        <f>R32</f>
        <v>1342</v>
      </c>
      <c r="F31" s="51">
        <v>7</v>
      </c>
      <c r="G31" s="139">
        <f>ROUNDDOWN(12.91*((G29*1.2049)-4)^1.1,0)</f>
        <v>279</v>
      </c>
      <c r="H31" s="138">
        <f>G31</f>
        <v>279</v>
      </c>
      <c r="I31" s="139">
        <f>ROUNDDOWN(0.14354*(100*(I29*1.1551)-220)^1.4,0)</f>
        <v>209</v>
      </c>
      <c r="J31" s="138">
        <f>G32+I31</f>
        <v>488</v>
      </c>
      <c r="K31" s="39">
        <f>IF(K29=0,0,TRUNC(5.8425*((37.76-(K29*0.9235))^1.81)))</f>
        <v>207</v>
      </c>
      <c r="L31" s="138">
        <f>I32+K31</f>
        <v>695</v>
      </c>
      <c r="M31" s="139">
        <f>ROUNDDOWN(10.14*((M29*1.1716)-7)^1.08,0)</f>
        <v>232</v>
      </c>
      <c r="N31" s="19">
        <f>K32+M31</f>
        <v>927</v>
      </c>
      <c r="O31" s="14"/>
      <c r="P31" s="14"/>
      <c r="Q31" s="140">
        <f>IF(O29+Q29=0,0,TRUNC(0.13279*((235-((O29*60+Q29)*0.9203))^1.85)))</f>
        <v>415</v>
      </c>
      <c r="R31" s="29">
        <f>M32+Q31</f>
        <v>1342</v>
      </c>
      <c r="S31" s="17"/>
    </row>
    <row r="32" spans="1:19" ht="14.25" customHeight="1">
      <c r="A32" s="33"/>
      <c r="B32" s="76"/>
      <c r="C32" s="8"/>
      <c r="D32" s="8"/>
      <c r="E32" s="8"/>
      <c r="F32" s="46">
        <v>8</v>
      </c>
      <c r="G32" s="15">
        <f>E32+G31</f>
        <v>279</v>
      </c>
      <c r="H32" s="141">
        <f>G31</f>
        <v>279</v>
      </c>
      <c r="I32" s="24">
        <f>G32+I31</f>
        <v>488</v>
      </c>
      <c r="J32" s="138">
        <f>G32+I31</f>
        <v>488</v>
      </c>
      <c r="K32" s="24">
        <f>I32+K31</f>
        <v>695</v>
      </c>
      <c r="L32" s="138">
        <f>I32+K31</f>
        <v>695</v>
      </c>
      <c r="M32" s="15">
        <f>K32+M31</f>
        <v>927</v>
      </c>
      <c r="N32" s="19">
        <f>K32+M31</f>
        <v>927</v>
      </c>
      <c r="O32" s="15"/>
      <c r="P32" s="15"/>
      <c r="Q32" s="24">
        <f>M32+Q31</f>
        <v>1342</v>
      </c>
      <c r="R32" s="29">
        <f>M32+Q31</f>
        <v>1342</v>
      </c>
      <c r="S32" s="22"/>
    </row>
    <row r="33" spans="1:18" ht="14.25" customHeight="1">
      <c r="A33" s="31"/>
      <c r="B33" s="73"/>
      <c r="C33" s="181">
        <v>821</v>
      </c>
      <c r="D33" s="130" t="s">
        <v>268</v>
      </c>
      <c r="E33" s="145" t="s">
        <v>374</v>
      </c>
      <c r="F33" s="51">
        <v>25</v>
      </c>
      <c r="G33" s="83">
        <v>20.46</v>
      </c>
      <c r="H33" s="34">
        <f>G35</f>
        <v>305</v>
      </c>
      <c r="I33" s="83">
        <v>2.57</v>
      </c>
      <c r="J33" s="34">
        <f>G36+I35</f>
        <v>452</v>
      </c>
      <c r="K33" s="82">
        <v>37.8</v>
      </c>
      <c r="L33" s="34">
        <f>I36+K35</f>
        <v>613</v>
      </c>
      <c r="M33" s="83">
        <v>17.43</v>
      </c>
      <c r="N33" s="27">
        <f>K36+M35</f>
        <v>838</v>
      </c>
      <c r="O33" s="84">
        <v>3</v>
      </c>
      <c r="P33" s="7" t="s">
        <v>25</v>
      </c>
      <c r="Q33" s="184" t="s">
        <v>368</v>
      </c>
      <c r="R33" s="28">
        <f>M36+Q35</f>
        <v>1134</v>
      </c>
    </row>
    <row r="34" spans="1:18" ht="14.25" customHeight="1">
      <c r="A34" s="32">
        <v>6</v>
      </c>
      <c r="B34" s="74"/>
      <c r="D34" s="43" t="s">
        <v>89</v>
      </c>
      <c r="E34" s="10"/>
      <c r="F34" s="46">
        <v>26</v>
      </c>
      <c r="G34" s="14"/>
      <c r="H34" s="35">
        <f>G35</f>
        <v>305</v>
      </c>
      <c r="I34" s="85"/>
      <c r="J34" s="35">
        <f>G36+I35</f>
        <v>452</v>
      </c>
      <c r="K34" s="85"/>
      <c r="L34" s="35">
        <f>I36+K35</f>
        <v>613</v>
      </c>
      <c r="M34" s="14"/>
      <c r="N34" s="19">
        <f>K36+M35</f>
        <v>838</v>
      </c>
      <c r="O34" s="14"/>
      <c r="P34" s="14"/>
      <c r="Q34" s="14"/>
      <c r="R34" s="29">
        <f>M36+Q35</f>
        <v>1134</v>
      </c>
    </row>
    <row r="35" spans="1:18" ht="14.25" customHeight="1">
      <c r="A35" s="32"/>
      <c r="B35" s="79"/>
      <c r="C35" s="11" t="s">
        <v>257</v>
      </c>
      <c r="E35" s="25">
        <f>R36</f>
        <v>1134</v>
      </c>
      <c r="F35" s="51">
        <v>27</v>
      </c>
      <c r="G35" s="17">
        <f>ROUNDDOWN(12.91*((G33*1.0628)-4)^1.1,0)</f>
        <v>305</v>
      </c>
      <c r="H35" s="35">
        <f>G35</f>
        <v>305</v>
      </c>
      <c r="I35" s="17">
        <f>ROUNDDOWN(0.14354*(100*(I33*1.4078)-220)^1.4,0)</f>
        <v>147</v>
      </c>
      <c r="J35" s="35">
        <f>G36+I35</f>
        <v>452</v>
      </c>
      <c r="K35" s="39">
        <f>IF(K33=0,0,TRUNC(5.8425*((37.76-(K33*0.8332))^1.81)))</f>
        <v>161</v>
      </c>
      <c r="L35" s="35">
        <f>I36+K35</f>
        <v>613</v>
      </c>
      <c r="M35" s="17">
        <f>ROUNDDOWN(10.14*((M33*1.414)-7)^1.08,0)</f>
        <v>225</v>
      </c>
      <c r="N35" s="19">
        <f>K36+M35</f>
        <v>838</v>
      </c>
      <c r="O35" s="14"/>
      <c r="P35" s="14"/>
      <c r="Q35" s="23">
        <f>IF(O33+Q33=0,0,TRUNC(0.13279*((235-((O33*60+Q33)*0.7776))^1.85)))</f>
        <v>296</v>
      </c>
      <c r="R35" s="29">
        <f>M36+Q35</f>
        <v>1134</v>
      </c>
    </row>
    <row r="36" spans="1:19" ht="14.25" customHeight="1">
      <c r="A36" s="33"/>
      <c r="B36" s="76"/>
      <c r="C36" s="8"/>
      <c r="D36" s="8"/>
      <c r="E36" s="8"/>
      <c r="F36" s="51">
        <v>28</v>
      </c>
      <c r="G36" s="15">
        <f>E36+G35</f>
        <v>305</v>
      </c>
      <c r="H36" s="36">
        <f>G35</f>
        <v>305</v>
      </c>
      <c r="I36" s="24">
        <f>G36+I35</f>
        <v>452</v>
      </c>
      <c r="J36" s="35">
        <f>G36+I35</f>
        <v>452</v>
      </c>
      <c r="K36" s="24">
        <f>I36+K35</f>
        <v>613</v>
      </c>
      <c r="L36" s="35">
        <f>I36+K35</f>
        <v>613</v>
      </c>
      <c r="M36" s="15">
        <f>K36+M35</f>
        <v>838</v>
      </c>
      <c r="N36" s="19">
        <f>K36+M35</f>
        <v>838</v>
      </c>
      <c r="O36" s="15"/>
      <c r="P36" s="15"/>
      <c r="Q36" s="24">
        <f>M36+Q35</f>
        <v>1134</v>
      </c>
      <c r="R36" s="29">
        <f>M36+Q35</f>
        <v>1134</v>
      </c>
      <c r="S36" s="20"/>
    </row>
    <row r="37" spans="1:19" ht="12.75" customHeight="1">
      <c r="A37" s="31"/>
      <c r="B37" s="73"/>
      <c r="C37" s="89"/>
      <c r="D37" s="11"/>
      <c r="E37" s="145"/>
      <c r="F37" s="51"/>
      <c r="G37" s="83"/>
      <c r="H37" s="34"/>
      <c r="I37" s="83"/>
      <c r="J37" s="34"/>
      <c r="K37" s="82"/>
      <c r="L37" s="34"/>
      <c r="M37" s="83"/>
      <c r="N37" s="27"/>
      <c r="O37" s="84"/>
      <c r="P37" s="7"/>
      <c r="Q37" s="184"/>
      <c r="R37" s="28"/>
      <c r="S37" s="20"/>
    </row>
    <row r="38" spans="1:19" ht="12.75" customHeight="1">
      <c r="A38" s="32"/>
      <c r="B38" s="74"/>
      <c r="D38" s="90"/>
      <c r="E38" s="10"/>
      <c r="F38" s="46"/>
      <c r="G38" s="14"/>
      <c r="H38" s="35"/>
      <c r="I38" s="85"/>
      <c r="J38" s="35"/>
      <c r="K38" s="85"/>
      <c r="L38" s="35"/>
      <c r="M38" s="14"/>
      <c r="N38" s="19"/>
      <c r="O38" s="14"/>
      <c r="P38" s="14"/>
      <c r="Q38" s="14"/>
      <c r="R38" s="29"/>
      <c r="S38" s="20"/>
    </row>
    <row r="39" spans="1:19" ht="12.75" customHeight="1">
      <c r="A39" s="32"/>
      <c r="B39" s="79"/>
      <c r="C39" s="11"/>
      <c r="D39" s="11"/>
      <c r="E39" s="25"/>
      <c r="F39" s="51"/>
      <c r="G39" s="17"/>
      <c r="H39" s="35"/>
      <c r="I39" s="17"/>
      <c r="J39" s="35"/>
      <c r="K39" s="39"/>
      <c r="L39" s="35"/>
      <c r="M39" s="17"/>
      <c r="N39" s="19"/>
      <c r="O39" s="14"/>
      <c r="P39" s="14"/>
      <c r="Q39" s="23"/>
      <c r="R39" s="29"/>
      <c r="S39" s="20"/>
    </row>
    <row r="40" spans="1:19" ht="12.75" customHeight="1">
      <c r="A40" s="97"/>
      <c r="B40" s="73"/>
      <c r="C40" s="20"/>
      <c r="D40" s="20"/>
      <c r="E40" s="20"/>
      <c r="F40" s="126"/>
      <c r="G40" s="18"/>
      <c r="H40" s="35"/>
      <c r="I40" s="110"/>
      <c r="J40" s="35"/>
      <c r="K40" s="110"/>
      <c r="L40" s="35"/>
      <c r="M40" s="18"/>
      <c r="N40" s="19"/>
      <c r="O40" s="18"/>
      <c r="P40" s="18"/>
      <c r="Q40" s="110"/>
      <c r="R40" s="29"/>
      <c r="S40" s="20"/>
    </row>
    <row r="41" spans="1:19" ht="12.75" customHeight="1">
      <c r="A41" s="97"/>
      <c r="B41" s="73"/>
      <c r="C41" s="98"/>
      <c r="D41" s="95"/>
      <c r="E41" s="156"/>
      <c r="F41" s="127"/>
      <c r="G41" s="101"/>
      <c r="H41" s="35"/>
      <c r="I41" s="101"/>
      <c r="J41" s="35"/>
      <c r="K41" s="102"/>
      <c r="L41" s="35"/>
      <c r="M41" s="101"/>
      <c r="N41" s="19"/>
      <c r="O41" s="122"/>
      <c r="P41" s="19"/>
      <c r="Q41" s="172"/>
      <c r="R41" s="29"/>
      <c r="S41" s="20"/>
    </row>
    <row r="42" spans="1:19" ht="12.75" customHeight="1">
      <c r="A42" s="97"/>
      <c r="B42" s="73"/>
      <c r="C42" s="20"/>
      <c r="D42" s="160"/>
      <c r="E42" s="105"/>
      <c r="F42" s="126"/>
      <c r="G42" s="18"/>
      <c r="H42" s="35"/>
      <c r="I42" s="106"/>
      <c r="J42" s="35"/>
      <c r="K42" s="106"/>
      <c r="L42" s="35"/>
      <c r="M42" s="18"/>
      <c r="N42" s="19"/>
      <c r="O42" s="18"/>
      <c r="P42" s="18"/>
      <c r="Q42" s="18"/>
      <c r="R42" s="29"/>
      <c r="S42" s="20"/>
    </row>
    <row r="43" spans="1:19" ht="12.75" customHeight="1">
      <c r="A43" s="97"/>
      <c r="B43" s="81"/>
      <c r="C43" s="95"/>
      <c r="D43" s="95"/>
      <c r="E43" s="108"/>
      <c r="F43" s="127"/>
      <c r="G43" s="17"/>
      <c r="H43" s="35"/>
      <c r="I43" s="17"/>
      <c r="J43" s="35"/>
      <c r="K43" s="39"/>
      <c r="L43" s="35"/>
      <c r="M43" s="17"/>
      <c r="N43" s="19"/>
      <c r="O43" s="18"/>
      <c r="P43" s="18"/>
      <c r="Q43" s="23"/>
      <c r="R43" s="29"/>
      <c r="S43" s="20"/>
    </row>
    <row r="44" spans="1:19" ht="12.75" customHeight="1">
      <c r="A44" s="97"/>
      <c r="B44" s="73"/>
      <c r="C44" s="20"/>
      <c r="D44" s="20"/>
      <c r="E44" s="20"/>
      <c r="F44" s="126"/>
      <c r="G44" s="18"/>
      <c r="H44" s="35"/>
      <c r="I44" s="110"/>
      <c r="J44" s="35"/>
      <c r="K44" s="110"/>
      <c r="L44" s="35"/>
      <c r="M44" s="18"/>
      <c r="N44" s="19"/>
      <c r="O44" s="18"/>
      <c r="P44" s="18"/>
      <c r="Q44" s="110"/>
      <c r="R44" s="29"/>
      <c r="S44" s="20"/>
    </row>
    <row r="45" spans="1:19" ht="12.75" customHeight="1">
      <c r="A45" s="97"/>
      <c r="B45" s="73"/>
      <c r="C45" s="98"/>
      <c r="D45" s="95"/>
      <c r="E45" s="156"/>
      <c r="F45" s="127"/>
      <c r="G45" s="101"/>
      <c r="H45" s="35"/>
      <c r="I45" s="101"/>
      <c r="J45" s="35"/>
      <c r="K45" s="102"/>
      <c r="L45" s="35"/>
      <c r="M45" s="101"/>
      <c r="N45" s="19"/>
      <c r="O45" s="122"/>
      <c r="P45" s="19"/>
      <c r="Q45" s="104"/>
      <c r="R45" s="29"/>
      <c r="S45" s="20"/>
    </row>
    <row r="46" spans="1:24" ht="12.75" customHeight="1">
      <c r="A46" s="32"/>
      <c r="B46" s="74"/>
      <c r="D46" s="90"/>
      <c r="E46" s="10"/>
      <c r="F46" s="46"/>
      <c r="G46" s="14"/>
      <c r="H46" s="35"/>
      <c r="I46" s="85"/>
      <c r="J46" s="35"/>
      <c r="K46" s="85"/>
      <c r="L46" s="35"/>
      <c r="M46" s="14"/>
      <c r="N46" s="19"/>
      <c r="O46" s="14"/>
      <c r="P46" s="14"/>
      <c r="Q46" s="14"/>
      <c r="R46" s="29"/>
      <c r="S46" s="38"/>
      <c r="T46" s="16"/>
      <c r="U46" s="16"/>
      <c r="V46" s="16"/>
      <c r="W46" s="16"/>
      <c r="X46" s="16"/>
    </row>
    <row r="47" spans="1:24" ht="12.75" customHeight="1">
      <c r="A47" s="32"/>
      <c r="B47" s="79"/>
      <c r="C47" s="11"/>
      <c r="E47" s="25"/>
      <c r="F47" s="51"/>
      <c r="G47" s="17"/>
      <c r="H47" s="35"/>
      <c r="I47" s="17"/>
      <c r="J47" s="35"/>
      <c r="K47" s="39"/>
      <c r="L47" s="35"/>
      <c r="M47" s="17"/>
      <c r="N47" s="19"/>
      <c r="O47" s="14"/>
      <c r="P47" s="14"/>
      <c r="Q47" s="23"/>
      <c r="R47" s="29"/>
      <c r="S47" s="123"/>
      <c r="T47" s="42"/>
      <c r="U47" s="42"/>
      <c r="V47" s="42"/>
      <c r="W47" s="43"/>
      <c r="X47" s="16"/>
    </row>
    <row r="48" spans="1:24" ht="12.75" customHeight="1">
      <c r="A48" s="97"/>
      <c r="B48" s="73"/>
      <c r="C48" s="20"/>
      <c r="D48" s="20"/>
      <c r="E48" s="20"/>
      <c r="F48" s="126"/>
      <c r="G48" s="18"/>
      <c r="H48" s="35"/>
      <c r="I48" s="110"/>
      <c r="J48" s="35"/>
      <c r="K48" s="110"/>
      <c r="L48" s="35"/>
      <c r="M48" s="18"/>
      <c r="N48" s="19"/>
      <c r="O48" s="18"/>
      <c r="P48" s="18"/>
      <c r="Q48" s="110"/>
      <c r="R48" s="29"/>
      <c r="S48" s="125"/>
      <c r="T48" s="45"/>
      <c r="U48" s="45"/>
      <c r="V48" s="45"/>
      <c r="W48" s="44"/>
      <c r="X48" s="16"/>
    </row>
    <row r="49" spans="1:24" ht="18">
      <c r="A49" s="97"/>
      <c r="B49" s="73"/>
      <c r="C49" s="20"/>
      <c r="D49" s="20"/>
      <c r="E49" s="105"/>
      <c r="F49" s="126"/>
      <c r="G49" s="106"/>
      <c r="H49" s="35"/>
      <c r="I49" s="18"/>
      <c r="J49" s="35"/>
      <c r="K49" s="18"/>
      <c r="L49" s="35"/>
      <c r="M49" s="106"/>
      <c r="N49" s="19"/>
      <c r="O49" s="18"/>
      <c r="P49" s="18"/>
      <c r="Q49" s="18"/>
      <c r="R49" s="29"/>
      <c r="S49" s="22"/>
      <c r="T49" s="48"/>
      <c r="U49" s="48"/>
      <c r="V49" s="48"/>
      <c r="W49" s="47"/>
      <c r="X49" s="16"/>
    </row>
    <row r="50" spans="1:24" ht="14.25" customHeight="1">
      <c r="A50" s="97"/>
      <c r="B50" s="107"/>
      <c r="C50" s="95"/>
      <c r="D50" s="95"/>
      <c r="E50" s="108"/>
      <c r="F50" s="128"/>
      <c r="G50" s="39"/>
      <c r="H50" s="35"/>
      <c r="I50" s="17"/>
      <c r="J50" s="35"/>
      <c r="K50" s="17"/>
      <c r="L50" s="35"/>
      <c r="M50" s="17"/>
      <c r="N50" s="19"/>
      <c r="O50" s="18"/>
      <c r="P50" s="18"/>
      <c r="Q50" s="23"/>
      <c r="R50" s="29"/>
      <c r="S50" s="22"/>
      <c r="T50" s="48"/>
      <c r="U50" s="48"/>
      <c r="V50" s="48"/>
      <c r="W50" s="47"/>
      <c r="X50" s="16"/>
    </row>
    <row r="51" spans="1:24" ht="18">
      <c r="A51" s="97"/>
      <c r="B51" s="73"/>
      <c r="C51" s="20"/>
      <c r="D51" s="20"/>
      <c r="E51" s="20"/>
      <c r="F51" s="126"/>
      <c r="G51" s="110"/>
      <c r="H51" s="35"/>
      <c r="I51" s="18"/>
      <c r="J51" s="35"/>
      <c r="K51" s="18"/>
      <c r="L51" s="35"/>
      <c r="M51" s="110"/>
      <c r="N51" s="19"/>
      <c r="O51" s="18"/>
      <c r="P51" s="18"/>
      <c r="Q51" s="110"/>
      <c r="R51" s="29"/>
      <c r="S51" s="22"/>
      <c r="T51" s="55"/>
      <c r="U51" s="55"/>
      <c r="V51" s="55"/>
      <c r="W51" s="22"/>
      <c r="X51" s="16"/>
    </row>
    <row r="52" spans="1:24" ht="14.25" customHeight="1">
      <c r="A52" s="97"/>
      <c r="B52" s="73"/>
      <c r="C52" s="98"/>
      <c r="D52" s="95"/>
      <c r="E52" s="99"/>
      <c r="F52" s="127"/>
      <c r="G52" s="102"/>
      <c r="H52" s="35"/>
      <c r="I52" s="101"/>
      <c r="J52" s="35"/>
      <c r="K52" s="101"/>
      <c r="L52" s="35"/>
      <c r="M52" s="101"/>
      <c r="N52" s="19"/>
      <c r="O52" s="122"/>
      <c r="P52" s="19"/>
      <c r="Q52" s="104"/>
      <c r="R52" s="29"/>
      <c r="S52" s="56"/>
      <c r="T52" s="52"/>
      <c r="U52" s="22"/>
      <c r="V52" s="55"/>
      <c r="W52" s="57"/>
      <c r="X52" s="52"/>
    </row>
    <row r="53" spans="1:24" ht="12.75" customHeight="1">
      <c r="A53" s="97"/>
      <c r="B53" s="73"/>
      <c r="C53" s="20"/>
      <c r="D53" s="20"/>
      <c r="E53" s="105"/>
      <c r="F53" s="126"/>
      <c r="G53" s="106"/>
      <c r="H53" s="35"/>
      <c r="I53" s="18"/>
      <c r="J53" s="35"/>
      <c r="K53" s="18"/>
      <c r="L53" s="35"/>
      <c r="M53" s="106"/>
      <c r="N53" s="19"/>
      <c r="O53" s="18"/>
      <c r="P53" s="18"/>
      <c r="Q53" s="18"/>
      <c r="R53" s="29"/>
      <c r="S53" s="22"/>
      <c r="T53" s="52"/>
      <c r="U53" s="22"/>
      <c r="V53" s="22"/>
      <c r="W53" s="22"/>
      <c r="X53" s="52"/>
    </row>
    <row r="54" spans="1:24" ht="14.25" customHeight="1">
      <c r="A54" s="97"/>
      <c r="B54" s="111"/>
      <c r="C54" s="95"/>
      <c r="D54" s="95"/>
      <c r="E54" s="108"/>
      <c r="F54" s="128"/>
      <c r="G54" s="39"/>
      <c r="H54" s="35"/>
      <c r="I54" s="17"/>
      <c r="J54" s="35"/>
      <c r="K54" s="17"/>
      <c r="L54" s="35"/>
      <c r="M54" s="17"/>
      <c r="N54" s="19"/>
      <c r="O54" s="18"/>
      <c r="P54" s="18"/>
      <c r="Q54" s="23"/>
      <c r="R54" s="29"/>
      <c r="S54" s="17"/>
      <c r="T54" s="52"/>
      <c r="U54" s="22"/>
      <c r="V54" s="22"/>
      <c r="W54" s="39"/>
      <c r="X54" s="52"/>
    </row>
    <row r="55" spans="1:24" ht="14.25" customHeight="1">
      <c r="A55" s="97"/>
      <c r="B55" s="73"/>
      <c r="C55" s="20"/>
      <c r="D55" s="20"/>
      <c r="E55" s="20"/>
      <c r="F55" s="126"/>
      <c r="G55" s="110"/>
      <c r="H55" s="35"/>
      <c r="I55" s="18"/>
      <c r="J55" s="35"/>
      <c r="K55" s="18"/>
      <c r="L55" s="35"/>
      <c r="M55" s="110"/>
      <c r="N55" s="19"/>
      <c r="O55" s="18"/>
      <c r="P55" s="18"/>
      <c r="Q55" s="110"/>
      <c r="R55" s="29"/>
      <c r="S55" s="22"/>
      <c r="T55" s="52"/>
      <c r="U55" s="22"/>
      <c r="V55" s="22"/>
      <c r="W55" s="39"/>
      <c r="X55" s="52"/>
    </row>
    <row r="56" spans="1:24" ht="14.25" customHeight="1">
      <c r="A56" s="97"/>
      <c r="B56" s="73"/>
      <c r="C56" s="98"/>
      <c r="D56" s="95"/>
      <c r="E56" s="99"/>
      <c r="F56" s="127"/>
      <c r="G56" s="102"/>
      <c r="H56" s="35"/>
      <c r="I56" s="101"/>
      <c r="J56" s="35"/>
      <c r="K56" s="101"/>
      <c r="L56" s="35"/>
      <c r="M56" s="101"/>
      <c r="N56" s="19"/>
      <c r="O56" s="122"/>
      <c r="P56" s="19"/>
      <c r="Q56" s="104"/>
      <c r="R56" s="29"/>
      <c r="S56" s="56"/>
      <c r="T56" s="52"/>
      <c r="U56" s="22"/>
      <c r="V56" s="55"/>
      <c r="W56" s="57"/>
      <c r="X56" s="52"/>
    </row>
    <row r="57" spans="1:24" ht="12.75" customHeight="1">
      <c r="A57" s="97"/>
      <c r="B57" s="73"/>
      <c r="C57" s="20"/>
      <c r="D57" s="20"/>
      <c r="E57" s="105"/>
      <c r="F57" s="126"/>
      <c r="G57" s="106"/>
      <c r="H57" s="35"/>
      <c r="I57" s="18"/>
      <c r="J57" s="35"/>
      <c r="K57" s="18"/>
      <c r="L57" s="35"/>
      <c r="M57" s="106"/>
      <c r="N57" s="19"/>
      <c r="O57" s="18"/>
      <c r="P57" s="18"/>
      <c r="Q57" s="18"/>
      <c r="R57" s="29"/>
      <c r="S57" s="22"/>
      <c r="T57" s="52"/>
      <c r="U57" s="22"/>
      <c r="V57" s="22"/>
      <c r="W57" s="22"/>
      <c r="X57" s="52"/>
    </row>
    <row r="58" spans="1:24" ht="14.25" customHeight="1">
      <c r="A58" s="97"/>
      <c r="B58" s="112"/>
      <c r="C58" s="95"/>
      <c r="D58" s="95"/>
      <c r="E58" s="108"/>
      <c r="F58" s="128"/>
      <c r="G58" s="39"/>
      <c r="H58" s="35"/>
      <c r="I58" s="17"/>
      <c r="J58" s="35"/>
      <c r="K58" s="17"/>
      <c r="L58" s="35"/>
      <c r="M58" s="17"/>
      <c r="N58" s="19"/>
      <c r="O58" s="18"/>
      <c r="P58" s="18"/>
      <c r="Q58" s="23"/>
      <c r="R58" s="29"/>
      <c r="S58" s="17"/>
      <c r="T58" s="52"/>
      <c r="U58" s="22"/>
      <c r="V58" s="22"/>
      <c r="W58" s="39"/>
      <c r="X58" s="52"/>
    </row>
    <row r="59" spans="1:24" ht="14.25" customHeight="1">
      <c r="A59" s="97"/>
      <c r="B59" s="73"/>
      <c r="C59" s="20"/>
      <c r="D59" s="20"/>
      <c r="E59" s="20"/>
      <c r="F59" s="126"/>
      <c r="G59" s="110"/>
      <c r="H59" s="35"/>
      <c r="I59" s="18"/>
      <c r="J59" s="35"/>
      <c r="K59" s="18"/>
      <c r="L59" s="35"/>
      <c r="M59" s="110"/>
      <c r="N59" s="19"/>
      <c r="O59" s="18"/>
      <c r="P59" s="18"/>
      <c r="Q59" s="110"/>
      <c r="R59" s="29"/>
      <c r="S59" s="22"/>
      <c r="T59" s="52"/>
      <c r="U59" s="22"/>
      <c r="V59" s="22"/>
      <c r="W59" s="39"/>
      <c r="X59" s="52"/>
    </row>
    <row r="60" spans="1:24" ht="14.25" customHeight="1">
      <c r="A60" s="97"/>
      <c r="B60" s="73"/>
      <c r="C60" s="98"/>
      <c r="D60" s="95"/>
      <c r="E60" s="99"/>
      <c r="F60" s="127"/>
      <c r="G60" s="102"/>
      <c r="H60" s="35"/>
      <c r="I60" s="101"/>
      <c r="J60" s="35"/>
      <c r="K60" s="101"/>
      <c r="L60" s="35"/>
      <c r="M60" s="101"/>
      <c r="N60" s="19"/>
      <c r="O60" s="122"/>
      <c r="P60" s="19"/>
      <c r="Q60" s="104"/>
      <c r="R60" s="29"/>
      <c r="S60" s="56"/>
      <c r="T60" s="52"/>
      <c r="U60" s="22"/>
      <c r="V60" s="55"/>
      <c r="W60" s="57"/>
      <c r="X60" s="52"/>
    </row>
    <row r="61" spans="1:24" ht="12.75" customHeight="1">
      <c r="A61" s="97"/>
      <c r="B61" s="73"/>
      <c r="C61" s="20"/>
      <c r="D61" s="20"/>
      <c r="E61" s="105"/>
      <c r="F61" s="126"/>
      <c r="G61" s="106"/>
      <c r="H61" s="35"/>
      <c r="I61" s="18"/>
      <c r="J61" s="35"/>
      <c r="K61" s="18"/>
      <c r="L61" s="35"/>
      <c r="M61" s="106"/>
      <c r="N61" s="19"/>
      <c r="O61" s="18"/>
      <c r="P61" s="18"/>
      <c r="Q61" s="18"/>
      <c r="R61" s="29"/>
      <c r="S61" s="22"/>
      <c r="T61" s="52"/>
      <c r="U61" s="22"/>
      <c r="V61" s="22"/>
      <c r="W61" s="22"/>
      <c r="X61" s="52"/>
    </row>
    <row r="62" spans="1:24" ht="14.25" customHeight="1">
      <c r="A62" s="97"/>
      <c r="B62" s="81"/>
      <c r="C62" s="95"/>
      <c r="D62" s="95"/>
      <c r="E62" s="108"/>
      <c r="F62" s="128"/>
      <c r="G62" s="39"/>
      <c r="H62" s="35"/>
      <c r="I62" s="17"/>
      <c r="J62" s="35"/>
      <c r="K62" s="17"/>
      <c r="L62" s="35"/>
      <c r="M62" s="17"/>
      <c r="N62" s="19"/>
      <c r="O62" s="18"/>
      <c r="P62" s="18"/>
      <c r="Q62" s="23"/>
      <c r="R62" s="29"/>
      <c r="S62" s="17"/>
      <c r="T62" s="52"/>
      <c r="U62" s="22"/>
      <c r="V62" s="22"/>
      <c r="W62" s="39"/>
      <c r="X62" s="52"/>
    </row>
    <row r="63" spans="1:24" ht="14.25" customHeight="1">
      <c r="A63" s="97"/>
      <c r="B63" s="73"/>
      <c r="C63" s="20"/>
      <c r="D63" s="20"/>
      <c r="E63" s="20"/>
      <c r="F63" s="126"/>
      <c r="G63" s="110"/>
      <c r="H63" s="35"/>
      <c r="I63" s="18"/>
      <c r="J63" s="35"/>
      <c r="K63" s="18"/>
      <c r="L63" s="35"/>
      <c r="M63" s="110"/>
      <c r="N63" s="19"/>
      <c r="O63" s="18"/>
      <c r="P63" s="18"/>
      <c r="Q63" s="110"/>
      <c r="R63" s="29"/>
      <c r="S63" s="22"/>
      <c r="T63" s="52"/>
      <c r="U63" s="22"/>
      <c r="V63" s="22"/>
      <c r="W63" s="39"/>
      <c r="X63" s="52"/>
    </row>
    <row r="64" spans="1:24" ht="14.25" customHeight="1">
      <c r="A64" s="97"/>
      <c r="B64" s="73"/>
      <c r="C64" s="98"/>
      <c r="D64" s="95"/>
      <c r="E64" s="99"/>
      <c r="F64" s="127"/>
      <c r="G64" s="102"/>
      <c r="H64" s="35"/>
      <c r="I64" s="101"/>
      <c r="J64" s="35"/>
      <c r="K64" s="101"/>
      <c r="L64" s="35"/>
      <c r="M64" s="101"/>
      <c r="N64" s="19"/>
      <c r="O64" s="122"/>
      <c r="P64" s="19"/>
      <c r="Q64" s="104"/>
      <c r="R64" s="29"/>
      <c r="S64" s="56"/>
      <c r="T64" s="52"/>
      <c r="U64" s="22"/>
      <c r="V64" s="55"/>
      <c r="W64" s="57"/>
      <c r="X64" s="52"/>
    </row>
    <row r="65" spans="1:24" ht="12.75" customHeight="1">
      <c r="A65" s="97"/>
      <c r="B65" s="73"/>
      <c r="C65" s="20"/>
      <c r="D65" s="20"/>
      <c r="E65" s="105"/>
      <c r="F65" s="126"/>
      <c r="G65" s="106"/>
      <c r="H65" s="35"/>
      <c r="I65" s="18"/>
      <c r="J65" s="35"/>
      <c r="K65" s="18"/>
      <c r="L65" s="35"/>
      <c r="M65" s="106"/>
      <c r="N65" s="19"/>
      <c r="O65" s="18"/>
      <c r="P65" s="18"/>
      <c r="Q65" s="18"/>
      <c r="R65" s="29"/>
      <c r="S65" s="22"/>
      <c r="T65" s="52"/>
      <c r="U65" s="22"/>
      <c r="V65" s="22"/>
      <c r="W65" s="22"/>
      <c r="X65" s="52"/>
    </row>
    <row r="66" spans="1:24" ht="14.25" customHeight="1">
      <c r="A66" s="97"/>
      <c r="B66" s="81"/>
      <c r="C66" s="95"/>
      <c r="D66" s="95"/>
      <c r="E66" s="108"/>
      <c r="F66" s="128"/>
      <c r="G66" s="39"/>
      <c r="H66" s="35"/>
      <c r="I66" s="17"/>
      <c r="J66" s="35"/>
      <c r="K66" s="17"/>
      <c r="L66" s="35"/>
      <c r="M66" s="17"/>
      <c r="N66" s="19"/>
      <c r="O66" s="18"/>
      <c r="P66" s="18"/>
      <c r="Q66" s="23"/>
      <c r="R66" s="29"/>
      <c r="S66" s="17"/>
      <c r="T66" s="52"/>
      <c r="U66" s="22"/>
      <c r="V66" s="22"/>
      <c r="W66" s="39"/>
      <c r="X66" s="52"/>
    </row>
    <row r="67" spans="1:24" ht="14.25" customHeight="1">
      <c r="A67" s="97"/>
      <c r="B67" s="73"/>
      <c r="C67" s="20"/>
      <c r="D67" s="20"/>
      <c r="E67" s="20"/>
      <c r="F67" s="126"/>
      <c r="G67" s="110"/>
      <c r="H67" s="35"/>
      <c r="I67" s="18"/>
      <c r="J67" s="35"/>
      <c r="K67" s="18"/>
      <c r="L67" s="35"/>
      <c r="M67" s="110"/>
      <c r="N67" s="19"/>
      <c r="O67" s="18"/>
      <c r="P67" s="18"/>
      <c r="Q67" s="110"/>
      <c r="R67" s="29"/>
      <c r="S67" s="22"/>
      <c r="T67" s="52"/>
      <c r="U67" s="22"/>
      <c r="V67" s="22"/>
      <c r="W67" s="39"/>
      <c r="X67" s="52"/>
    </row>
    <row r="68" spans="1:24" ht="14.25" customHeight="1">
      <c r="A68" s="97"/>
      <c r="B68" s="73"/>
      <c r="C68" s="98"/>
      <c r="D68" s="95"/>
      <c r="E68" s="99"/>
      <c r="F68" s="127"/>
      <c r="G68" s="102"/>
      <c r="H68" s="35"/>
      <c r="I68" s="101"/>
      <c r="J68" s="35"/>
      <c r="K68" s="101"/>
      <c r="L68" s="35"/>
      <c r="M68" s="101"/>
      <c r="N68" s="19"/>
      <c r="O68" s="122"/>
      <c r="P68" s="19"/>
      <c r="Q68" s="104"/>
      <c r="R68" s="29"/>
      <c r="S68" s="56"/>
      <c r="T68" s="52"/>
      <c r="U68" s="22"/>
      <c r="V68" s="55"/>
      <c r="W68" s="57"/>
      <c r="X68" s="52"/>
    </row>
    <row r="69" spans="1:24" ht="12.75" customHeight="1">
      <c r="A69" s="97"/>
      <c r="B69" s="73"/>
      <c r="C69" s="20"/>
      <c r="D69" s="20"/>
      <c r="E69" s="105"/>
      <c r="F69" s="126"/>
      <c r="G69" s="106"/>
      <c r="H69" s="35"/>
      <c r="I69" s="18"/>
      <c r="J69" s="35"/>
      <c r="K69" s="18"/>
      <c r="L69" s="35"/>
      <c r="M69" s="106"/>
      <c r="N69" s="19"/>
      <c r="O69" s="18"/>
      <c r="P69" s="18"/>
      <c r="Q69" s="18"/>
      <c r="R69" s="29"/>
      <c r="S69" s="22"/>
      <c r="T69" s="52"/>
      <c r="U69" s="22"/>
      <c r="V69" s="22"/>
      <c r="W69" s="22"/>
      <c r="X69" s="52"/>
    </row>
    <row r="70" spans="1:24" ht="14.25" customHeight="1">
      <c r="A70" s="97"/>
      <c r="B70" s="81"/>
      <c r="C70" s="95"/>
      <c r="D70" s="95"/>
      <c r="E70" s="108"/>
      <c r="F70" s="128"/>
      <c r="G70" s="39"/>
      <c r="H70" s="35"/>
      <c r="I70" s="17"/>
      <c r="J70" s="35"/>
      <c r="K70" s="17"/>
      <c r="L70" s="35"/>
      <c r="M70" s="17"/>
      <c r="N70" s="19"/>
      <c r="O70" s="18"/>
      <c r="P70" s="18"/>
      <c r="Q70" s="23"/>
      <c r="R70" s="29"/>
      <c r="S70" s="17"/>
      <c r="T70" s="52"/>
      <c r="U70" s="22"/>
      <c r="V70" s="22"/>
      <c r="W70" s="39"/>
      <c r="X70" s="52"/>
    </row>
    <row r="71" spans="1:24" ht="14.25" customHeight="1">
      <c r="A71" s="97"/>
      <c r="B71" s="81"/>
      <c r="C71" s="20"/>
      <c r="D71" s="20"/>
      <c r="E71" s="20"/>
      <c r="F71" s="126"/>
      <c r="G71" s="110"/>
      <c r="H71" s="35"/>
      <c r="I71" s="18"/>
      <c r="J71" s="35"/>
      <c r="K71" s="18"/>
      <c r="L71" s="35"/>
      <c r="M71" s="110"/>
      <c r="N71" s="19"/>
      <c r="O71" s="18"/>
      <c r="P71" s="18"/>
      <c r="Q71" s="110"/>
      <c r="R71" s="29"/>
      <c r="S71" s="22"/>
      <c r="T71" s="52"/>
      <c r="U71" s="22"/>
      <c r="V71" s="22"/>
      <c r="W71" s="39"/>
      <c r="X71" s="52"/>
    </row>
    <row r="72" spans="1:24" ht="14.25" customHeight="1">
      <c r="A72" s="97"/>
      <c r="B72" s="81"/>
      <c r="C72" s="98"/>
      <c r="D72" s="95"/>
      <c r="E72" s="99"/>
      <c r="F72" s="127"/>
      <c r="G72" s="102"/>
      <c r="H72" s="35"/>
      <c r="I72" s="101"/>
      <c r="J72" s="35"/>
      <c r="K72" s="101"/>
      <c r="L72" s="35"/>
      <c r="M72" s="101"/>
      <c r="N72" s="19"/>
      <c r="O72" s="122"/>
      <c r="P72" s="19"/>
      <c r="Q72" s="104"/>
      <c r="R72" s="29"/>
      <c r="S72" s="56"/>
      <c r="T72" s="52"/>
      <c r="U72" s="22"/>
      <c r="V72" s="55"/>
      <c r="W72" s="57"/>
      <c r="X72" s="52"/>
    </row>
    <row r="73" spans="1:24" ht="12.75" customHeight="1">
      <c r="A73" s="97"/>
      <c r="B73" s="81"/>
      <c r="C73" s="20"/>
      <c r="D73" s="20"/>
      <c r="E73" s="105"/>
      <c r="F73" s="126"/>
      <c r="G73" s="106"/>
      <c r="H73" s="35"/>
      <c r="I73" s="18"/>
      <c r="J73" s="35"/>
      <c r="K73" s="18"/>
      <c r="L73" s="35"/>
      <c r="M73" s="106"/>
      <c r="N73" s="19"/>
      <c r="O73" s="18"/>
      <c r="P73" s="18"/>
      <c r="Q73" s="18"/>
      <c r="R73" s="29"/>
      <c r="S73" s="22"/>
      <c r="T73" s="52"/>
      <c r="U73" s="22"/>
      <c r="V73" s="22"/>
      <c r="W73" s="22"/>
      <c r="X73" s="52"/>
    </row>
    <row r="74" spans="1:24" ht="14.25" customHeight="1">
      <c r="A74" s="97"/>
      <c r="B74" s="81"/>
      <c r="C74" s="95"/>
      <c r="D74" s="95"/>
      <c r="E74" s="108"/>
      <c r="F74" s="128"/>
      <c r="G74" s="39"/>
      <c r="H74" s="35"/>
      <c r="I74" s="17"/>
      <c r="J74" s="35"/>
      <c r="K74" s="17"/>
      <c r="L74" s="35"/>
      <c r="M74" s="17"/>
      <c r="N74" s="19"/>
      <c r="O74" s="18"/>
      <c r="P74" s="18"/>
      <c r="Q74" s="23"/>
      <c r="R74" s="29"/>
      <c r="S74" s="17"/>
      <c r="T74" s="52"/>
      <c r="U74" s="22"/>
      <c r="V74" s="22"/>
      <c r="W74" s="39"/>
      <c r="X74" s="52"/>
    </row>
    <row r="75" spans="1:24" ht="14.25" customHeight="1">
      <c r="A75" s="97"/>
      <c r="B75" s="73"/>
      <c r="C75" s="20"/>
      <c r="D75" s="20"/>
      <c r="E75" s="38"/>
      <c r="F75" s="126"/>
      <c r="G75" s="110"/>
      <c r="H75" s="35"/>
      <c r="I75" s="18"/>
      <c r="J75" s="35"/>
      <c r="K75" s="18"/>
      <c r="L75" s="35"/>
      <c r="M75" s="110"/>
      <c r="N75" s="19"/>
      <c r="O75" s="18"/>
      <c r="P75" s="18"/>
      <c r="Q75" s="110"/>
      <c r="R75" s="29"/>
      <c r="S75" s="22"/>
      <c r="T75" s="52"/>
      <c r="U75" s="22"/>
      <c r="V75" s="22"/>
      <c r="W75" s="39"/>
      <c r="X75" s="52"/>
    </row>
    <row r="76" spans="1:24" ht="14.2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56"/>
      <c r="T76" s="52"/>
      <c r="U76" s="22"/>
      <c r="V76" s="55"/>
      <c r="W76" s="57"/>
      <c r="X76" s="52"/>
    </row>
    <row r="77" spans="1:24" ht="12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2"/>
      <c r="T77" s="52"/>
      <c r="U77" s="22"/>
      <c r="V77" s="22"/>
      <c r="W77" s="22"/>
      <c r="X77" s="52"/>
    </row>
    <row r="78" spans="1:24" ht="14.2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17"/>
      <c r="T78" s="52"/>
      <c r="U78" s="22"/>
      <c r="V78" s="22"/>
      <c r="W78" s="39"/>
      <c r="X78" s="52"/>
    </row>
    <row r="79" spans="1:24" ht="14.2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2"/>
      <c r="T79" s="52"/>
      <c r="U79" s="22"/>
      <c r="V79" s="22"/>
      <c r="W79" s="39"/>
      <c r="X79" s="52"/>
    </row>
    <row r="80" spans="1:23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1:23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</sheetData>
  <sheetProtection/>
  <printOptions/>
  <pageMargins left="0.2755905511811024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89"/>
  <sheetViews>
    <sheetView zoomScale="140" zoomScaleNormal="140" workbookViewId="0" topLeftCell="A10">
      <selection activeCell="W21" sqref="W21"/>
    </sheetView>
  </sheetViews>
  <sheetFormatPr defaultColWidth="9.140625" defaultRowHeight="12.75"/>
  <cols>
    <col min="1" max="2" width="7.7109375" style="0" customWidth="1"/>
    <col min="3" max="3" width="4.7109375" style="0" customWidth="1"/>
    <col min="4" max="4" width="19.7109375" style="0" customWidth="1"/>
    <col min="5" max="5" width="13.7109375" style="0" customWidth="1"/>
    <col min="6" max="6" width="0.85546875" style="0" customWidth="1"/>
    <col min="7" max="7" width="7.7109375" style="0" customWidth="1"/>
    <col min="8" max="8" width="0.85546875" style="0" customWidth="1"/>
    <col min="9" max="9" width="7.7109375" style="0" customWidth="1"/>
    <col min="10" max="10" width="0.85546875" style="0" customWidth="1"/>
    <col min="11" max="11" width="8.28125" style="0" customWidth="1"/>
    <col min="12" max="12" width="0.85546875" style="0" customWidth="1"/>
    <col min="13" max="13" width="7.7109375" style="0" customWidth="1"/>
    <col min="14" max="14" width="0.85546875" style="0" customWidth="1"/>
    <col min="15" max="15" width="7.57421875" style="0" customWidth="1"/>
    <col min="16" max="16" width="0.85546875" style="0" customWidth="1"/>
    <col min="17" max="17" width="7.7109375" style="0" customWidth="1"/>
    <col min="18" max="18" width="0.85546875" style="0" customWidth="1"/>
    <col min="19" max="19" width="2.57421875" style="0" customWidth="1"/>
    <col min="20" max="20" width="0.85546875" style="0" customWidth="1"/>
    <col min="21" max="21" width="5.421875" style="0" customWidth="1"/>
    <col min="22" max="22" width="0.85546875" style="0" customWidth="1"/>
    <col min="24" max="24" width="0.85546875" style="0" customWidth="1"/>
  </cols>
  <sheetData>
    <row r="1" spans="1:2" ht="15.75">
      <c r="A1" s="1" t="s">
        <v>105</v>
      </c>
      <c r="B1" s="1"/>
    </row>
    <row r="2" spans="1:2" ht="15.75">
      <c r="A2" s="1" t="s">
        <v>31</v>
      </c>
      <c r="B2" s="1"/>
    </row>
    <row r="3" spans="1:2" ht="15.75">
      <c r="A3" s="1" t="s">
        <v>120</v>
      </c>
      <c r="B3" s="1"/>
    </row>
    <row r="4" spans="1:2" ht="5.25" customHeight="1">
      <c r="A4" s="1"/>
      <c r="B4" s="1"/>
    </row>
    <row r="5" spans="5:9" ht="12.75">
      <c r="E5" s="148" t="s">
        <v>72</v>
      </c>
      <c r="G5" s="147">
        <v>3136</v>
      </c>
      <c r="I5" s="59" t="s">
        <v>94</v>
      </c>
    </row>
    <row r="6" spans="1:2" ht="15.75">
      <c r="A6" s="6" t="s">
        <v>104</v>
      </c>
      <c r="B6" s="6"/>
    </row>
    <row r="7" spans="1:22" ht="12.75">
      <c r="A7" s="41"/>
      <c r="B7" s="41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5:22" ht="12.75">
      <c r="E8" s="16"/>
      <c r="F8" s="16"/>
      <c r="G8" s="13" t="s">
        <v>3</v>
      </c>
      <c r="H8" s="42"/>
      <c r="I8" s="13" t="s">
        <v>14</v>
      </c>
      <c r="J8" s="13"/>
      <c r="K8" s="13" t="s">
        <v>87</v>
      </c>
      <c r="L8" s="42"/>
      <c r="M8" s="13" t="s">
        <v>88</v>
      </c>
      <c r="N8" s="13"/>
      <c r="O8" s="13" t="s">
        <v>4</v>
      </c>
      <c r="P8" s="13"/>
      <c r="Q8" s="42"/>
      <c r="R8" s="42"/>
      <c r="S8" s="42"/>
      <c r="T8" s="42"/>
      <c r="U8" s="43"/>
      <c r="V8" s="16"/>
    </row>
    <row r="9" spans="1:22" ht="14.25" customHeight="1">
      <c r="A9" s="13" t="s">
        <v>48</v>
      </c>
      <c r="B9" s="58"/>
      <c r="C9" s="62" t="s">
        <v>21</v>
      </c>
      <c r="D9" s="11" t="s">
        <v>9</v>
      </c>
      <c r="E9" s="60" t="s">
        <v>20</v>
      </c>
      <c r="F9" s="16"/>
      <c r="G9" s="21" t="s">
        <v>23</v>
      </c>
      <c r="H9" s="45"/>
      <c r="I9" s="21" t="s">
        <v>23</v>
      </c>
      <c r="J9" s="12"/>
      <c r="K9" s="21" t="s">
        <v>23</v>
      </c>
      <c r="L9" s="45"/>
      <c r="M9" s="21" t="s">
        <v>23</v>
      </c>
      <c r="N9" s="12"/>
      <c r="O9" s="21" t="s">
        <v>23</v>
      </c>
      <c r="P9" s="12"/>
      <c r="Q9" s="44"/>
      <c r="R9" s="45"/>
      <c r="S9" s="45"/>
      <c r="T9" s="45"/>
      <c r="U9" s="44"/>
      <c r="V9" s="16"/>
    </row>
    <row r="10" spans="1:22" ht="12.75">
      <c r="A10" s="13" t="s">
        <v>2</v>
      </c>
      <c r="B10" s="58"/>
      <c r="E10" s="10"/>
      <c r="F10" s="46"/>
      <c r="G10" s="14"/>
      <c r="H10" s="48"/>
      <c r="I10" s="14"/>
      <c r="J10" s="7"/>
      <c r="K10" s="14"/>
      <c r="L10" s="48"/>
      <c r="M10" s="14"/>
      <c r="N10" s="7"/>
      <c r="O10" s="14"/>
      <c r="P10" s="7"/>
      <c r="Q10" s="47"/>
      <c r="R10" s="48"/>
      <c r="S10" s="48"/>
      <c r="T10" s="48"/>
      <c r="U10" s="47"/>
      <c r="V10" s="16"/>
    </row>
    <row r="11" spans="3:22" ht="14.25" customHeight="1">
      <c r="C11" s="11" t="s">
        <v>10</v>
      </c>
      <c r="E11" s="61" t="s">
        <v>19</v>
      </c>
      <c r="F11" s="48"/>
      <c r="G11" s="14" t="s">
        <v>12</v>
      </c>
      <c r="H11" s="48"/>
      <c r="I11" s="14" t="s">
        <v>12</v>
      </c>
      <c r="J11" s="7"/>
      <c r="K11" s="14" t="s">
        <v>12</v>
      </c>
      <c r="L11" s="48"/>
      <c r="M11" s="14" t="s">
        <v>12</v>
      </c>
      <c r="N11" s="7"/>
      <c r="O11" s="14" t="s">
        <v>12</v>
      </c>
      <c r="P11" s="7"/>
      <c r="Q11" s="47"/>
      <c r="R11" s="48"/>
      <c r="S11" s="48"/>
      <c r="T11" s="48"/>
      <c r="U11" s="47"/>
      <c r="V11" s="16"/>
    </row>
    <row r="12" spans="1:22" ht="12.75">
      <c r="A12" s="8"/>
      <c r="B12" s="8"/>
      <c r="C12" s="8"/>
      <c r="D12" s="8"/>
      <c r="E12" s="8"/>
      <c r="F12" s="49"/>
      <c r="G12" s="15" t="s">
        <v>13</v>
      </c>
      <c r="H12" s="50"/>
      <c r="I12" s="15" t="s">
        <v>13</v>
      </c>
      <c r="J12" s="9"/>
      <c r="K12" s="15" t="s">
        <v>13</v>
      </c>
      <c r="L12" s="50"/>
      <c r="M12" s="15" t="s">
        <v>13</v>
      </c>
      <c r="N12" s="9"/>
      <c r="O12" s="15" t="s">
        <v>13</v>
      </c>
      <c r="P12" s="9"/>
      <c r="Q12" s="22"/>
      <c r="R12" s="55"/>
      <c r="S12" s="55"/>
      <c r="T12" s="55"/>
      <c r="U12" s="22"/>
      <c r="V12" s="16"/>
    </row>
    <row r="13" spans="1:22" ht="14.25" customHeight="1">
      <c r="A13" s="31"/>
      <c r="B13" s="73"/>
      <c r="C13" s="181">
        <v>822</v>
      </c>
      <c r="D13" s="130" t="s">
        <v>272</v>
      </c>
      <c r="E13" s="145" t="s">
        <v>301</v>
      </c>
      <c r="F13" s="51">
        <v>1</v>
      </c>
      <c r="G13" s="83">
        <v>38.75</v>
      </c>
      <c r="H13" s="34">
        <f>G15</f>
        <v>656</v>
      </c>
      <c r="I13" s="83">
        <v>12.14</v>
      </c>
      <c r="J13" s="34">
        <f>G16+I15</f>
        <v>1398</v>
      </c>
      <c r="K13" s="83">
        <v>30.18</v>
      </c>
      <c r="L13" s="34">
        <f>I16+K15</f>
        <v>1842</v>
      </c>
      <c r="M13" s="83">
        <v>10.39</v>
      </c>
      <c r="N13" s="27">
        <f>K16+M15</f>
        <v>2344</v>
      </c>
      <c r="O13" s="179" t="s">
        <v>326</v>
      </c>
      <c r="P13" s="28">
        <f>M16+O15</f>
        <v>2941</v>
      </c>
      <c r="Q13" s="56"/>
      <c r="R13" s="52"/>
      <c r="S13" s="22"/>
      <c r="T13" s="55"/>
      <c r="U13" s="57"/>
      <c r="V13" s="52"/>
    </row>
    <row r="14" spans="1:22" ht="12.75" customHeight="1">
      <c r="A14" s="32">
        <v>1</v>
      </c>
      <c r="B14" s="74"/>
      <c r="D14" s="43" t="s">
        <v>269</v>
      </c>
      <c r="E14" s="10"/>
      <c r="F14" s="46">
        <v>2</v>
      </c>
      <c r="G14" s="14"/>
      <c r="H14" s="35">
        <f>G15</f>
        <v>656</v>
      </c>
      <c r="I14" s="85"/>
      <c r="J14" s="35">
        <f>G16+I15</f>
        <v>1398</v>
      </c>
      <c r="K14" s="85"/>
      <c r="L14" s="35">
        <f>I16+K15</f>
        <v>1842</v>
      </c>
      <c r="M14" s="14"/>
      <c r="N14" s="19">
        <f>K16+M15</f>
        <v>2344</v>
      </c>
      <c r="O14" s="14"/>
      <c r="P14" s="29">
        <f>M16+O15</f>
        <v>2941</v>
      </c>
      <c r="Q14" s="22"/>
      <c r="R14" s="52"/>
      <c r="S14" s="22"/>
      <c r="T14" s="22"/>
      <c r="U14" s="22"/>
      <c r="V14" s="52"/>
    </row>
    <row r="15" spans="1:22" ht="14.25" customHeight="1">
      <c r="A15" s="32"/>
      <c r="B15" s="79"/>
      <c r="C15" s="11" t="s">
        <v>178</v>
      </c>
      <c r="E15" s="25">
        <f>P16</f>
        <v>2941</v>
      </c>
      <c r="F15" s="51">
        <v>3</v>
      </c>
      <c r="G15" s="139">
        <f>ROUNDDOWN(12.91*((G13*1.0218)-4)^1.1,0)</f>
        <v>656</v>
      </c>
      <c r="H15" s="35">
        <f>G15</f>
        <v>656</v>
      </c>
      <c r="I15" s="17">
        <f>ROUNDDOWN(51.39*((I13*1.1721)-1.5)^1.05,0)</f>
        <v>742</v>
      </c>
      <c r="J15" s="35">
        <f>G16+I15</f>
        <v>1398</v>
      </c>
      <c r="K15" s="139">
        <f>ROUNDDOWN(13.04*((K13*1.1864)-7)^1.05,0)</f>
        <v>444</v>
      </c>
      <c r="L15" s="35">
        <f>I16+K15</f>
        <v>1842</v>
      </c>
      <c r="M15" s="17">
        <f>ROUNDDOWN(47.83*((M13*1.0488)-1.5)^1.05,0)</f>
        <v>502</v>
      </c>
      <c r="N15" s="19">
        <f>K16+M15</f>
        <v>2344</v>
      </c>
      <c r="O15" s="139">
        <f>ROUNDDOWN(10.14*((O13*1.2278)-7)^1.08,0)</f>
        <v>597</v>
      </c>
      <c r="P15" s="29">
        <f>M16+O15</f>
        <v>2941</v>
      </c>
      <c r="Q15" s="17"/>
      <c r="R15" s="52"/>
      <c r="S15" s="22"/>
      <c r="T15" s="22"/>
      <c r="U15" s="39"/>
      <c r="V15" s="52"/>
    </row>
    <row r="16" spans="1:22" ht="14.25" customHeight="1">
      <c r="A16" s="33"/>
      <c r="B16" s="76"/>
      <c r="C16" s="8"/>
      <c r="D16" s="8"/>
      <c r="E16" s="8"/>
      <c r="F16" s="51">
        <v>4</v>
      </c>
      <c r="G16" s="15">
        <f>E16+G15</f>
        <v>656</v>
      </c>
      <c r="H16" s="36">
        <f>G15</f>
        <v>656</v>
      </c>
      <c r="I16" s="24">
        <f>G16+I15</f>
        <v>1398</v>
      </c>
      <c r="J16" s="35">
        <f>G16+I15</f>
        <v>1398</v>
      </c>
      <c r="K16" s="24">
        <f>I16+K15</f>
        <v>1842</v>
      </c>
      <c r="L16" s="35">
        <f>I16+K15</f>
        <v>1842</v>
      </c>
      <c r="M16" s="15">
        <f>K16+M15</f>
        <v>2344</v>
      </c>
      <c r="N16" s="19">
        <f>K16+M15</f>
        <v>2344</v>
      </c>
      <c r="O16" s="24">
        <f>M16+O15</f>
        <v>2941</v>
      </c>
      <c r="P16" s="29">
        <f>M16+O15</f>
        <v>2941</v>
      </c>
      <c r="Q16" s="22"/>
      <c r="R16" s="52"/>
      <c r="S16" s="22"/>
      <c r="T16" s="22"/>
      <c r="U16" s="39"/>
      <c r="V16" s="52"/>
    </row>
    <row r="17" spans="1:22" s="20" customFormat="1" ht="14.25" customHeight="1">
      <c r="A17" s="31"/>
      <c r="B17" s="73"/>
      <c r="C17" s="181">
        <v>824</v>
      </c>
      <c r="D17" s="130" t="s">
        <v>304</v>
      </c>
      <c r="E17" s="145" t="s">
        <v>330</v>
      </c>
      <c r="F17" s="51">
        <v>5</v>
      </c>
      <c r="G17" s="83">
        <v>15.56</v>
      </c>
      <c r="H17" s="137">
        <f>G19</f>
        <v>322</v>
      </c>
      <c r="I17" s="83">
        <v>7.93</v>
      </c>
      <c r="J17" s="137">
        <f>G20+I19</f>
        <v>908</v>
      </c>
      <c r="K17" s="83">
        <v>18.69</v>
      </c>
      <c r="L17" s="137">
        <f>I20+K19</f>
        <v>1318</v>
      </c>
      <c r="M17" s="193">
        <v>9.79</v>
      </c>
      <c r="N17" s="27">
        <f>K20+M19</f>
        <v>1973</v>
      </c>
      <c r="O17" s="179" t="s">
        <v>328</v>
      </c>
      <c r="P17" s="28">
        <f>M20+O19</f>
        <v>2163</v>
      </c>
      <c r="Q17" s="56"/>
      <c r="R17" s="52"/>
      <c r="S17" s="22"/>
      <c r="T17" s="55"/>
      <c r="U17" s="57"/>
      <c r="V17" s="52"/>
    </row>
    <row r="18" spans="1:22" s="20" customFormat="1" ht="12.75" customHeight="1">
      <c r="A18" s="32">
        <v>2</v>
      </c>
      <c r="B18" s="74"/>
      <c r="C18"/>
      <c r="D18" s="43" t="s">
        <v>305</v>
      </c>
      <c r="E18" s="10"/>
      <c r="F18" s="46">
        <v>6</v>
      </c>
      <c r="G18" s="14"/>
      <c r="H18" s="138">
        <f>G19</f>
        <v>322</v>
      </c>
      <c r="I18" s="85"/>
      <c r="J18" s="138">
        <f>G20+I19</f>
        <v>908</v>
      </c>
      <c r="K18" s="85"/>
      <c r="L18" s="138">
        <f>I20+K19</f>
        <v>1318</v>
      </c>
      <c r="M18" s="14"/>
      <c r="N18" s="19">
        <f>K20+M19</f>
        <v>1973</v>
      </c>
      <c r="O18" s="14"/>
      <c r="P18" s="29">
        <f>M20+O19</f>
        <v>2163</v>
      </c>
      <c r="Q18" s="22"/>
      <c r="R18" s="52"/>
      <c r="S18" s="22"/>
      <c r="T18" s="22"/>
      <c r="U18" s="22"/>
      <c r="V18" s="52"/>
    </row>
    <row r="19" spans="1:22" s="20" customFormat="1" ht="14.25" customHeight="1">
      <c r="A19" s="32"/>
      <c r="B19" s="79"/>
      <c r="C19" s="11" t="s">
        <v>178</v>
      </c>
      <c r="D19"/>
      <c r="E19" s="25">
        <f>P20</f>
        <v>2163</v>
      </c>
      <c r="F19" s="51">
        <v>7</v>
      </c>
      <c r="G19" s="139">
        <f>ROUNDDOWN(12.3311*((G17*1.4407)-3)^1.1,0)</f>
        <v>322</v>
      </c>
      <c r="H19" s="138">
        <f>G19</f>
        <v>322</v>
      </c>
      <c r="I19" s="139">
        <f>ROUNDDOWN(56.0211*((I17*1.3706)-1.5)^1.05,0)</f>
        <v>586</v>
      </c>
      <c r="J19" s="138">
        <f>G20+I19</f>
        <v>908</v>
      </c>
      <c r="K19" s="139">
        <f>ROUNDDOWN(17.5458*((K17*1.3984)-6)^1.05,0)</f>
        <v>410</v>
      </c>
      <c r="L19" s="138">
        <f>I20+K19</f>
        <v>1318</v>
      </c>
      <c r="M19" s="139">
        <f>ROUNDDOWN(52.1403*((M17*1.2918)-1.5)^1.05,0)</f>
        <v>655</v>
      </c>
      <c r="N19" s="19">
        <f>K20+M19</f>
        <v>1973</v>
      </c>
      <c r="O19" s="139">
        <f>ROUNDDOWN(15.9803*((O17*1.4482)-3.8)^1.04,0)</f>
        <v>190</v>
      </c>
      <c r="P19" s="29">
        <f>M20+O19</f>
        <v>2163</v>
      </c>
      <c r="Q19" s="17"/>
      <c r="R19" s="52"/>
      <c r="S19" s="22"/>
      <c r="T19" s="22"/>
      <c r="U19" s="39"/>
      <c r="V19" s="52"/>
    </row>
    <row r="20" spans="1:22" s="20" customFormat="1" ht="14.25" customHeight="1">
      <c r="A20" s="33"/>
      <c r="B20" s="76"/>
      <c r="C20" s="8"/>
      <c r="D20" s="8"/>
      <c r="E20" s="8"/>
      <c r="F20" s="46">
        <v>8</v>
      </c>
      <c r="G20" s="15">
        <f>E20+G19</f>
        <v>322</v>
      </c>
      <c r="H20" s="141">
        <f>G19</f>
        <v>322</v>
      </c>
      <c r="I20" s="24">
        <f>G20+I19</f>
        <v>908</v>
      </c>
      <c r="J20" s="138">
        <f>G20+I19</f>
        <v>908</v>
      </c>
      <c r="K20" s="24">
        <f>I20+K19</f>
        <v>1318</v>
      </c>
      <c r="L20" s="138">
        <f>I20+K19</f>
        <v>1318</v>
      </c>
      <c r="M20" s="15">
        <f>K20+M19</f>
        <v>1973</v>
      </c>
      <c r="N20" s="19">
        <f>K20+M19</f>
        <v>1973</v>
      </c>
      <c r="O20" s="24">
        <f>M20+O19</f>
        <v>2163</v>
      </c>
      <c r="P20" s="29">
        <f>M20+O19</f>
        <v>2163</v>
      </c>
      <c r="Q20" s="22"/>
      <c r="R20" s="52"/>
      <c r="S20" s="22"/>
      <c r="T20" s="22"/>
      <c r="U20" s="39"/>
      <c r="V20" s="52"/>
    </row>
    <row r="21" spans="1:16" s="20" customFormat="1" ht="14.25" customHeight="1">
      <c r="A21" s="31"/>
      <c r="B21" s="73"/>
      <c r="C21" s="181">
        <v>823</v>
      </c>
      <c r="D21" s="130" t="s">
        <v>271</v>
      </c>
      <c r="E21" s="145" t="s">
        <v>329</v>
      </c>
      <c r="F21" s="46">
        <v>5</v>
      </c>
      <c r="G21" s="83">
        <v>32.41</v>
      </c>
      <c r="H21" s="34">
        <f>G23</f>
        <v>526</v>
      </c>
      <c r="I21" s="83">
        <v>11.45</v>
      </c>
      <c r="J21" s="34">
        <f>G24+I23</f>
        <v>1219</v>
      </c>
      <c r="K21" s="83">
        <v>22.35</v>
      </c>
      <c r="L21" s="34">
        <f>I24+K23</f>
        <v>1514</v>
      </c>
      <c r="M21" s="83">
        <v>8.21</v>
      </c>
      <c r="N21" s="27">
        <f>K24+M23</f>
        <v>1889</v>
      </c>
      <c r="O21" s="179" t="s">
        <v>327</v>
      </c>
      <c r="P21" s="28">
        <f>M24+O23</f>
        <v>2070</v>
      </c>
    </row>
    <row r="22" spans="1:16" s="20" customFormat="1" ht="14.25" customHeight="1">
      <c r="A22" s="32">
        <v>3</v>
      </c>
      <c r="B22" s="74"/>
      <c r="C22"/>
      <c r="D22" s="43" t="s">
        <v>269</v>
      </c>
      <c r="E22" s="10"/>
      <c r="F22" s="51">
        <v>6</v>
      </c>
      <c r="G22" s="14"/>
      <c r="H22" s="35">
        <f>G23</f>
        <v>526</v>
      </c>
      <c r="I22" s="85"/>
      <c r="J22" s="35">
        <f>G24+I23</f>
        <v>1219</v>
      </c>
      <c r="K22" s="85"/>
      <c r="L22" s="35">
        <f>I24+K23</f>
        <v>1514</v>
      </c>
      <c r="M22" s="14"/>
      <c r="N22" s="19">
        <f>K24+M23</f>
        <v>1889</v>
      </c>
      <c r="O22" s="14"/>
      <c r="P22" s="29">
        <f>M24+O23</f>
        <v>2070</v>
      </c>
    </row>
    <row r="23" spans="1:16" s="20" customFormat="1" ht="14.25" customHeight="1">
      <c r="A23" s="32"/>
      <c r="B23" s="79"/>
      <c r="C23" s="11" t="s">
        <v>270</v>
      </c>
      <c r="D23"/>
      <c r="E23" s="25">
        <f>P24</f>
        <v>2070</v>
      </c>
      <c r="F23" s="51">
        <v>7</v>
      </c>
      <c r="G23" s="139">
        <f>ROUNDDOWN(12.91*((G21*1.0218)-4)^1.1,0)</f>
        <v>526</v>
      </c>
      <c r="H23" s="35">
        <f>G23</f>
        <v>526</v>
      </c>
      <c r="I23" s="17">
        <f>ROUNDDOWN(51.39*((I21*1.1721)-1.5)^1.05,0)</f>
        <v>693</v>
      </c>
      <c r="J23" s="35">
        <f>G24+I23</f>
        <v>1219</v>
      </c>
      <c r="K23" s="139">
        <f>ROUNDDOWN(13.04*((K21*1.1864)-7)^1.05,0)</f>
        <v>295</v>
      </c>
      <c r="L23" s="35">
        <f>I24+K23</f>
        <v>1514</v>
      </c>
      <c r="M23" s="17">
        <f>ROUNDDOWN(47.83*((M21*1.0488)-1.5)^1.05,0)</f>
        <v>375</v>
      </c>
      <c r="N23" s="19">
        <f>K24+M23</f>
        <v>1889</v>
      </c>
      <c r="O23" s="139">
        <f>ROUNDDOWN(10.14*((O21*1.2278)-7)^1.08,0)</f>
        <v>181</v>
      </c>
      <c r="P23" s="29">
        <f>M24+O23</f>
        <v>2070</v>
      </c>
    </row>
    <row r="24" spans="1:16" s="20" customFormat="1" ht="14.25" customHeight="1">
      <c r="A24" s="33"/>
      <c r="B24" s="76"/>
      <c r="C24" s="8"/>
      <c r="D24" s="8"/>
      <c r="E24" s="8"/>
      <c r="F24" s="46">
        <v>8</v>
      </c>
      <c r="G24" s="15">
        <f>E24+G23</f>
        <v>526</v>
      </c>
      <c r="H24" s="36">
        <f>G23</f>
        <v>526</v>
      </c>
      <c r="I24" s="24">
        <f>G24+I23</f>
        <v>1219</v>
      </c>
      <c r="J24" s="35">
        <f>G24+I23</f>
        <v>1219</v>
      </c>
      <c r="K24" s="24">
        <f>I24+K23</f>
        <v>1514</v>
      </c>
      <c r="L24" s="35">
        <f>I24+K23</f>
        <v>1514</v>
      </c>
      <c r="M24" s="15">
        <f>K24+M23</f>
        <v>1889</v>
      </c>
      <c r="N24" s="19">
        <f>K24+M23</f>
        <v>1889</v>
      </c>
      <c r="O24" s="24">
        <f>M24+O23</f>
        <v>2070</v>
      </c>
      <c r="P24" s="29">
        <f>M24+O23</f>
        <v>2070</v>
      </c>
    </row>
    <row r="25" spans="1:16" s="20" customFormat="1" ht="14.25" customHeight="1">
      <c r="A25" s="31"/>
      <c r="B25" s="73"/>
      <c r="C25" s="89"/>
      <c r="D25" s="11"/>
      <c r="E25" s="145"/>
      <c r="F25" s="51"/>
      <c r="G25" s="83"/>
      <c r="H25" s="34"/>
      <c r="I25" s="83"/>
      <c r="J25" s="34"/>
      <c r="K25" s="83"/>
      <c r="L25" s="34"/>
      <c r="M25" s="83"/>
      <c r="N25" s="27"/>
      <c r="O25" s="85"/>
      <c r="P25" s="28"/>
    </row>
    <row r="26" spans="1:16" s="20" customFormat="1" ht="14.25" customHeight="1">
      <c r="A26" s="188"/>
      <c r="B26" s="74"/>
      <c r="C26" s="180"/>
      <c r="D26" s="155"/>
      <c r="E26" s="156"/>
      <c r="F26" s="126"/>
      <c r="G26" s="101"/>
      <c r="H26" s="35"/>
      <c r="I26" s="101"/>
      <c r="J26" s="35"/>
      <c r="K26" s="101"/>
      <c r="L26" s="35"/>
      <c r="M26" s="101"/>
      <c r="N26" s="19"/>
      <c r="O26" s="195"/>
      <c r="P26" s="29">
        <f>M29+O28</f>
        <v>0</v>
      </c>
    </row>
    <row r="27" spans="1:16" s="20" customFormat="1" ht="14.25" customHeight="1">
      <c r="A27" s="32"/>
      <c r="B27" s="79"/>
      <c r="D27" s="160"/>
      <c r="E27" s="105"/>
      <c r="F27" s="127"/>
      <c r="G27" s="18"/>
      <c r="H27" s="35"/>
      <c r="I27" s="106"/>
      <c r="J27" s="35"/>
      <c r="K27" s="106"/>
      <c r="L27" s="35"/>
      <c r="M27" s="18"/>
      <c r="N27" s="19"/>
      <c r="O27" s="18"/>
      <c r="P27" s="29">
        <f>M29+O28</f>
        <v>0</v>
      </c>
    </row>
    <row r="28" spans="1:16" s="20" customFormat="1" ht="14.25" customHeight="1">
      <c r="A28" s="97"/>
      <c r="B28" s="73"/>
      <c r="C28" s="95"/>
      <c r="E28" s="108"/>
      <c r="F28" s="127"/>
      <c r="G28" s="139"/>
      <c r="H28" s="35"/>
      <c r="I28" s="17"/>
      <c r="J28" s="35"/>
      <c r="K28" s="139"/>
      <c r="L28" s="35"/>
      <c r="M28" s="17"/>
      <c r="N28" s="19"/>
      <c r="O28" s="139"/>
      <c r="P28" s="29">
        <f>M29+O28</f>
        <v>0</v>
      </c>
    </row>
    <row r="29" spans="1:16" s="20" customFormat="1" ht="14.25" customHeight="1">
      <c r="A29" s="97"/>
      <c r="B29" s="73"/>
      <c r="F29" s="126"/>
      <c r="G29" s="18"/>
      <c r="H29" s="35"/>
      <c r="I29" s="110"/>
      <c r="J29" s="35"/>
      <c r="K29" s="110"/>
      <c r="L29" s="35"/>
      <c r="M29" s="18"/>
      <c r="N29" s="19"/>
      <c r="O29" s="110"/>
      <c r="P29" s="29">
        <f>M29+O28</f>
        <v>0</v>
      </c>
    </row>
    <row r="30" spans="1:16" s="20" customFormat="1" ht="14.25" customHeight="1">
      <c r="A30" s="97"/>
      <c r="B30" s="73"/>
      <c r="D30" s="160"/>
      <c r="E30" s="105"/>
      <c r="F30" s="126"/>
      <c r="G30" s="18"/>
      <c r="H30" s="35"/>
      <c r="I30" s="106"/>
      <c r="J30" s="35"/>
      <c r="K30" s="106"/>
      <c r="L30" s="35"/>
      <c r="M30" s="18"/>
      <c r="N30" s="19"/>
      <c r="O30" s="18"/>
      <c r="P30" s="29"/>
    </row>
    <row r="31" spans="1:16" s="20" customFormat="1" ht="14.25" customHeight="1">
      <c r="A31" s="97"/>
      <c r="B31" s="81"/>
      <c r="C31" s="95"/>
      <c r="D31" s="95"/>
      <c r="E31" s="108"/>
      <c r="F31" s="128"/>
      <c r="G31" s="17"/>
      <c r="H31" s="35"/>
      <c r="I31" s="17"/>
      <c r="J31" s="35"/>
      <c r="K31" s="39"/>
      <c r="L31" s="35"/>
      <c r="M31" s="17"/>
      <c r="N31" s="19"/>
      <c r="O31" s="23"/>
      <c r="P31" s="29"/>
    </row>
    <row r="32" spans="1:16" s="20" customFormat="1" ht="14.25" customHeight="1">
      <c r="A32" s="97"/>
      <c r="B32" s="73"/>
      <c r="F32" s="126"/>
      <c r="G32" s="18"/>
      <c r="H32" s="35"/>
      <c r="I32" s="110"/>
      <c r="J32" s="35"/>
      <c r="K32" s="110"/>
      <c r="L32" s="35"/>
      <c r="M32" s="18"/>
      <c r="N32" s="19"/>
      <c r="O32" s="110"/>
      <c r="P32" s="29"/>
    </row>
    <row r="33" spans="1:16" s="20" customFormat="1" ht="14.25" customHeight="1">
      <c r="A33" s="97"/>
      <c r="B33" s="73"/>
      <c r="C33" s="98"/>
      <c r="D33" s="95"/>
      <c r="E33" s="156"/>
      <c r="F33" s="127"/>
      <c r="G33" s="101"/>
      <c r="H33" s="35"/>
      <c r="I33" s="101"/>
      <c r="J33" s="35"/>
      <c r="K33" s="102"/>
      <c r="L33" s="35"/>
      <c r="M33" s="101"/>
      <c r="N33" s="19"/>
      <c r="O33" s="104"/>
      <c r="P33" s="29"/>
    </row>
    <row r="34" spans="1:16" s="20" customFormat="1" ht="14.25" customHeight="1">
      <c r="A34" s="97"/>
      <c r="B34" s="73"/>
      <c r="D34" s="160"/>
      <c r="E34" s="105"/>
      <c r="F34" s="126"/>
      <c r="G34" s="18"/>
      <c r="H34" s="35"/>
      <c r="I34" s="106"/>
      <c r="J34" s="35"/>
      <c r="K34" s="106"/>
      <c r="L34" s="35"/>
      <c r="M34" s="18"/>
      <c r="N34" s="19"/>
      <c r="O34" s="18"/>
      <c r="P34" s="29"/>
    </row>
    <row r="35" spans="1:16" s="20" customFormat="1" ht="14.25" customHeight="1">
      <c r="A35" s="97"/>
      <c r="B35" s="81"/>
      <c r="C35" s="95"/>
      <c r="D35" s="95"/>
      <c r="E35" s="108"/>
      <c r="F35" s="128"/>
      <c r="G35" s="17"/>
      <c r="H35" s="35"/>
      <c r="I35" s="17"/>
      <c r="J35" s="35"/>
      <c r="K35" s="39"/>
      <c r="L35" s="35"/>
      <c r="M35" s="17"/>
      <c r="N35" s="19"/>
      <c r="O35" s="23"/>
      <c r="P35" s="29"/>
    </row>
    <row r="36" spans="1:16" s="20" customFormat="1" ht="14.25" customHeight="1">
      <c r="A36" s="97"/>
      <c r="B36" s="73"/>
      <c r="F36" s="126"/>
      <c r="G36" s="18"/>
      <c r="H36" s="35"/>
      <c r="I36" s="110"/>
      <c r="J36" s="35"/>
      <c r="K36" s="110"/>
      <c r="L36" s="35"/>
      <c r="M36" s="18"/>
      <c r="N36" s="19"/>
      <c r="O36" s="110"/>
      <c r="P36" s="29"/>
    </row>
    <row r="37" spans="1:16" s="20" customFormat="1" ht="14.25" customHeight="1">
      <c r="A37" s="97"/>
      <c r="B37" s="73"/>
      <c r="C37" s="98"/>
      <c r="D37" s="95"/>
      <c r="E37" s="156"/>
      <c r="F37" s="127"/>
      <c r="G37" s="101"/>
      <c r="H37" s="35"/>
      <c r="I37" s="101"/>
      <c r="J37" s="35"/>
      <c r="K37" s="102"/>
      <c r="L37" s="35"/>
      <c r="M37" s="101"/>
      <c r="N37" s="19"/>
      <c r="O37" s="104"/>
      <c r="P37" s="29"/>
    </row>
    <row r="38" spans="1:16" s="20" customFormat="1" ht="14.25" customHeight="1">
      <c r="A38" s="97"/>
      <c r="B38" s="73"/>
      <c r="D38" s="135"/>
      <c r="E38" s="105"/>
      <c r="F38" s="126"/>
      <c r="G38" s="18"/>
      <c r="H38" s="35"/>
      <c r="I38" s="106"/>
      <c r="J38" s="35"/>
      <c r="K38" s="106"/>
      <c r="L38" s="35"/>
      <c r="M38" s="18"/>
      <c r="N38" s="19"/>
      <c r="O38" s="18"/>
      <c r="P38" s="29"/>
    </row>
    <row r="39" spans="1:16" s="20" customFormat="1" ht="14.25" customHeight="1">
      <c r="A39" s="97"/>
      <c r="B39" s="81"/>
      <c r="C39" s="95"/>
      <c r="D39" s="95"/>
      <c r="E39" s="108"/>
      <c r="F39" s="128"/>
      <c r="G39" s="17"/>
      <c r="H39" s="35"/>
      <c r="I39" s="17"/>
      <c r="J39" s="35"/>
      <c r="K39" s="39"/>
      <c r="L39" s="35"/>
      <c r="M39" s="17"/>
      <c r="N39" s="19"/>
      <c r="O39" s="23"/>
      <c r="P39" s="29"/>
    </row>
    <row r="40" spans="1:16" s="20" customFormat="1" ht="14.25" customHeight="1">
      <c r="A40" s="97"/>
      <c r="B40" s="73"/>
      <c r="F40" s="126"/>
      <c r="G40" s="18"/>
      <c r="H40" s="35"/>
      <c r="I40" s="110"/>
      <c r="J40" s="35"/>
      <c r="K40" s="110"/>
      <c r="L40" s="35"/>
      <c r="M40" s="18"/>
      <c r="N40" s="19"/>
      <c r="O40" s="110"/>
      <c r="P40" s="29"/>
    </row>
    <row r="44" spans="1:17" ht="12.75">
      <c r="A44" s="20"/>
      <c r="B44" s="20"/>
      <c r="C44" s="20"/>
      <c r="D44" s="20"/>
      <c r="E44" s="20"/>
      <c r="F44" s="20"/>
      <c r="G44" s="20"/>
      <c r="H44" s="19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5.75">
      <c r="A45" s="114"/>
      <c r="B45" s="11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5.75">
      <c r="A46" s="114"/>
      <c r="B46" s="114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5.75">
      <c r="A47" s="114"/>
      <c r="B47" s="114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5.75">
      <c r="A49" s="6"/>
      <c r="B49" s="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12.75">
      <c r="A50" s="115"/>
      <c r="B50" s="115"/>
      <c r="C50" s="20"/>
      <c r="D50" s="20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20"/>
    </row>
    <row r="51" spans="1:17" ht="12.75">
      <c r="A51" s="20"/>
      <c r="B51" s="20"/>
      <c r="C51" s="20"/>
      <c r="D51" s="20"/>
      <c r="E51" s="38"/>
      <c r="F51" s="38"/>
      <c r="G51" s="116"/>
      <c r="H51" s="123"/>
      <c r="I51" s="116"/>
      <c r="J51" s="116"/>
      <c r="K51" s="116"/>
      <c r="L51" s="123"/>
      <c r="M51" s="116"/>
      <c r="N51" s="116"/>
      <c r="O51" s="116"/>
      <c r="P51" s="116"/>
      <c r="Q51" s="20"/>
    </row>
    <row r="52" spans="1:17" ht="12.75">
      <c r="A52" s="116"/>
      <c r="B52" s="117"/>
      <c r="C52" s="118"/>
      <c r="D52" s="95"/>
      <c r="E52" s="119"/>
      <c r="F52" s="38"/>
      <c r="G52" s="120"/>
      <c r="H52" s="124"/>
      <c r="I52" s="120"/>
      <c r="J52" s="121"/>
      <c r="K52" s="120"/>
      <c r="L52" s="124"/>
      <c r="M52" s="120"/>
      <c r="N52" s="121"/>
      <c r="O52" s="120"/>
      <c r="P52" s="121"/>
      <c r="Q52" s="20"/>
    </row>
    <row r="53" spans="1:17" ht="12.75">
      <c r="A53" s="116"/>
      <c r="B53" s="117"/>
      <c r="C53" s="20"/>
      <c r="D53" s="20"/>
      <c r="E53" s="105"/>
      <c r="F53" s="126"/>
      <c r="G53" s="18"/>
      <c r="H53" s="55"/>
      <c r="I53" s="18"/>
      <c r="J53" s="19"/>
      <c r="K53" s="18"/>
      <c r="L53" s="55"/>
      <c r="M53" s="18"/>
      <c r="N53" s="19"/>
      <c r="O53" s="18"/>
      <c r="P53" s="19"/>
      <c r="Q53" s="20"/>
    </row>
    <row r="54" spans="1:22" ht="12.75">
      <c r="A54" s="20"/>
      <c r="B54" s="20"/>
      <c r="C54" s="95"/>
      <c r="D54" s="20"/>
      <c r="E54" s="96"/>
      <c r="F54" s="55"/>
      <c r="G54" s="18"/>
      <c r="H54" s="55"/>
      <c r="I54" s="18"/>
      <c r="J54" s="19"/>
      <c r="K54" s="18"/>
      <c r="L54" s="55"/>
      <c r="M54" s="18"/>
      <c r="N54" s="19"/>
      <c r="O54" s="18"/>
      <c r="P54" s="19"/>
      <c r="Q54" s="38"/>
      <c r="R54" s="16"/>
      <c r="S54" s="16"/>
      <c r="T54" s="16"/>
      <c r="U54" s="16"/>
      <c r="V54" s="16"/>
    </row>
    <row r="55" spans="1:22" ht="12.75">
      <c r="A55" s="20"/>
      <c r="B55" s="20"/>
      <c r="C55" s="20"/>
      <c r="D55" s="20"/>
      <c r="E55" s="20"/>
      <c r="F55" s="38"/>
      <c r="G55" s="18"/>
      <c r="H55" s="55"/>
      <c r="I55" s="18"/>
      <c r="J55" s="19"/>
      <c r="K55" s="18"/>
      <c r="L55" s="55"/>
      <c r="M55" s="18"/>
      <c r="N55" s="19"/>
      <c r="O55" s="18"/>
      <c r="P55" s="19"/>
      <c r="Q55" s="123"/>
      <c r="R55" s="42"/>
      <c r="S55" s="42"/>
      <c r="T55" s="42"/>
      <c r="U55" s="43"/>
      <c r="V55" s="16"/>
    </row>
    <row r="56" spans="1:22" ht="14.25" customHeight="1">
      <c r="A56" s="97"/>
      <c r="B56" s="73"/>
      <c r="C56" s="98"/>
      <c r="D56" s="95"/>
      <c r="E56" s="99"/>
      <c r="F56" s="127"/>
      <c r="G56" s="102"/>
      <c r="H56" s="35"/>
      <c r="I56" s="101"/>
      <c r="J56" s="35"/>
      <c r="K56" s="101"/>
      <c r="L56" s="35"/>
      <c r="M56" s="101"/>
      <c r="N56" s="19"/>
      <c r="O56" s="104"/>
      <c r="P56" s="29"/>
      <c r="Q56" s="125"/>
      <c r="R56" s="45"/>
      <c r="S56" s="45"/>
      <c r="T56" s="45"/>
      <c r="U56" s="44"/>
      <c r="V56" s="16"/>
    </row>
    <row r="57" spans="1:22" ht="18">
      <c r="A57" s="97"/>
      <c r="B57" s="73"/>
      <c r="C57" s="20"/>
      <c r="D57" s="20"/>
      <c r="E57" s="105"/>
      <c r="F57" s="126"/>
      <c r="G57" s="106"/>
      <c r="H57" s="35"/>
      <c r="I57" s="18"/>
      <c r="J57" s="35"/>
      <c r="K57" s="18"/>
      <c r="L57" s="35"/>
      <c r="M57" s="106"/>
      <c r="N57" s="19"/>
      <c r="O57" s="18"/>
      <c r="P57" s="29"/>
      <c r="Q57" s="22"/>
      <c r="R57" s="48"/>
      <c r="S57" s="48"/>
      <c r="T57" s="48"/>
      <c r="U57" s="47"/>
      <c r="V57" s="16"/>
    </row>
    <row r="58" spans="1:22" ht="14.25" customHeight="1">
      <c r="A58" s="97"/>
      <c r="B58" s="107"/>
      <c r="C58" s="95"/>
      <c r="D58" s="95"/>
      <c r="E58" s="108"/>
      <c r="F58" s="128"/>
      <c r="G58" s="39"/>
      <c r="H58" s="35"/>
      <c r="I58" s="17"/>
      <c r="J58" s="35"/>
      <c r="K58" s="17"/>
      <c r="L58" s="35"/>
      <c r="M58" s="17"/>
      <c r="N58" s="19"/>
      <c r="O58" s="23"/>
      <c r="P58" s="29"/>
      <c r="Q58" s="22"/>
      <c r="R58" s="48"/>
      <c r="S58" s="48"/>
      <c r="T58" s="48"/>
      <c r="U58" s="47"/>
      <c r="V58" s="16"/>
    </row>
    <row r="59" spans="1:22" ht="18">
      <c r="A59" s="97"/>
      <c r="B59" s="73"/>
      <c r="C59" s="20"/>
      <c r="D59" s="20"/>
      <c r="E59" s="20"/>
      <c r="F59" s="126"/>
      <c r="G59" s="110"/>
      <c r="H59" s="35"/>
      <c r="I59" s="18"/>
      <c r="J59" s="35"/>
      <c r="K59" s="18"/>
      <c r="L59" s="35"/>
      <c r="M59" s="110"/>
      <c r="N59" s="19"/>
      <c r="O59" s="110"/>
      <c r="P59" s="29"/>
      <c r="Q59" s="22"/>
      <c r="R59" s="55"/>
      <c r="S59" s="55"/>
      <c r="T59" s="55"/>
      <c r="U59" s="22"/>
      <c r="V59" s="16"/>
    </row>
    <row r="60" spans="1:22" ht="14.25" customHeight="1">
      <c r="A60" s="97"/>
      <c r="B60" s="73"/>
      <c r="C60" s="98"/>
      <c r="D60" s="95"/>
      <c r="E60" s="99"/>
      <c r="F60" s="127"/>
      <c r="G60" s="102"/>
      <c r="H60" s="35"/>
      <c r="I60" s="101"/>
      <c r="J60" s="35"/>
      <c r="K60" s="101"/>
      <c r="L60" s="35"/>
      <c r="M60" s="101"/>
      <c r="N60" s="19"/>
      <c r="O60" s="104"/>
      <c r="P60" s="29"/>
      <c r="Q60" s="56"/>
      <c r="R60" s="52"/>
      <c r="S60" s="22"/>
      <c r="T60" s="55"/>
      <c r="U60" s="57"/>
      <c r="V60" s="52"/>
    </row>
    <row r="61" spans="1:22" ht="12.75" customHeight="1">
      <c r="A61" s="97"/>
      <c r="B61" s="73"/>
      <c r="C61" s="20"/>
      <c r="D61" s="20"/>
      <c r="E61" s="105"/>
      <c r="F61" s="126"/>
      <c r="G61" s="106"/>
      <c r="H61" s="35"/>
      <c r="I61" s="18"/>
      <c r="J61" s="35"/>
      <c r="K61" s="18"/>
      <c r="L61" s="35"/>
      <c r="M61" s="106"/>
      <c r="N61" s="19"/>
      <c r="O61" s="18"/>
      <c r="P61" s="29"/>
      <c r="Q61" s="22"/>
      <c r="R61" s="52"/>
      <c r="S61" s="22"/>
      <c r="T61" s="22"/>
      <c r="U61" s="22"/>
      <c r="V61" s="52"/>
    </row>
    <row r="62" spans="1:22" ht="14.25" customHeight="1">
      <c r="A62" s="97"/>
      <c r="B62" s="111"/>
      <c r="C62" s="95"/>
      <c r="D62" s="95"/>
      <c r="E62" s="108"/>
      <c r="F62" s="128"/>
      <c r="G62" s="39"/>
      <c r="H62" s="35"/>
      <c r="I62" s="17"/>
      <c r="J62" s="35"/>
      <c r="K62" s="17"/>
      <c r="L62" s="35"/>
      <c r="M62" s="17"/>
      <c r="N62" s="19"/>
      <c r="O62" s="23"/>
      <c r="P62" s="29"/>
      <c r="Q62" s="17"/>
      <c r="R62" s="52"/>
      <c r="S62" s="22"/>
      <c r="T62" s="22"/>
      <c r="U62" s="39"/>
      <c r="V62" s="52"/>
    </row>
    <row r="63" spans="1:22" ht="14.25" customHeight="1">
      <c r="A63" s="97"/>
      <c r="B63" s="73"/>
      <c r="C63" s="20"/>
      <c r="D63" s="20"/>
      <c r="E63" s="20"/>
      <c r="F63" s="126"/>
      <c r="G63" s="110"/>
      <c r="H63" s="35"/>
      <c r="I63" s="18"/>
      <c r="J63" s="35"/>
      <c r="K63" s="18"/>
      <c r="L63" s="35"/>
      <c r="M63" s="110"/>
      <c r="N63" s="19"/>
      <c r="O63" s="110"/>
      <c r="P63" s="29"/>
      <c r="Q63" s="22"/>
      <c r="R63" s="52"/>
      <c r="S63" s="22"/>
      <c r="T63" s="22"/>
      <c r="U63" s="39"/>
      <c r="V63" s="52"/>
    </row>
    <row r="64" spans="1:22" ht="14.25" customHeight="1">
      <c r="A64" s="97"/>
      <c r="B64" s="73"/>
      <c r="C64" s="98"/>
      <c r="D64" s="95"/>
      <c r="E64" s="99"/>
      <c r="F64" s="127"/>
      <c r="G64" s="102"/>
      <c r="H64" s="35"/>
      <c r="I64" s="101"/>
      <c r="J64" s="35"/>
      <c r="K64" s="101"/>
      <c r="L64" s="35"/>
      <c r="M64" s="101"/>
      <c r="N64" s="19"/>
      <c r="O64" s="104"/>
      <c r="P64" s="29"/>
      <c r="Q64" s="56"/>
      <c r="R64" s="52"/>
      <c r="S64" s="22"/>
      <c r="T64" s="55"/>
      <c r="U64" s="57"/>
      <c r="V64" s="52"/>
    </row>
    <row r="65" spans="1:22" ht="12.75" customHeight="1">
      <c r="A65" s="97"/>
      <c r="B65" s="73"/>
      <c r="C65" s="20"/>
      <c r="D65" s="20"/>
      <c r="E65" s="105"/>
      <c r="F65" s="126"/>
      <c r="G65" s="106"/>
      <c r="H65" s="35"/>
      <c r="I65" s="18"/>
      <c r="J65" s="35"/>
      <c r="K65" s="18"/>
      <c r="L65" s="35"/>
      <c r="M65" s="106"/>
      <c r="N65" s="19"/>
      <c r="O65" s="18"/>
      <c r="P65" s="29"/>
      <c r="Q65" s="22"/>
      <c r="R65" s="52"/>
      <c r="S65" s="22"/>
      <c r="T65" s="22"/>
      <c r="U65" s="22"/>
      <c r="V65" s="52"/>
    </row>
    <row r="66" spans="1:22" ht="14.25" customHeight="1">
      <c r="A66" s="97"/>
      <c r="B66" s="112"/>
      <c r="C66" s="95"/>
      <c r="D66" s="95"/>
      <c r="E66" s="108"/>
      <c r="F66" s="128"/>
      <c r="G66" s="39"/>
      <c r="H66" s="35"/>
      <c r="I66" s="17"/>
      <c r="J66" s="35"/>
      <c r="K66" s="17"/>
      <c r="L66" s="35"/>
      <c r="M66" s="17"/>
      <c r="N66" s="19"/>
      <c r="O66" s="23"/>
      <c r="P66" s="29"/>
      <c r="Q66" s="17"/>
      <c r="R66" s="52"/>
      <c r="S66" s="22"/>
      <c r="T66" s="22"/>
      <c r="U66" s="39"/>
      <c r="V66" s="52"/>
    </row>
    <row r="67" spans="1:22" ht="14.25" customHeight="1">
      <c r="A67" s="97"/>
      <c r="B67" s="73"/>
      <c r="C67" s="20"/>
      <c r="D67" s="20"/>
      <c r="E67" s="20"/>
      <c r="F67" s="126"/>
      <c r="G67" s="110"/>
      <c r="H67" s="35"/>
      <c r="I67" s="18"/>
      <c r="J67" s="35"/>
      <c r="K67" s="18"/>
      <c r="L67" s="35"/>
      <c r="M67" s="110"/>
      <c r="N67" s="19"/>
      <c r="O67" s="110"/>
      <c r="P67" s="29"/>
      <c r="Q67" s="22"/>
      <c r="R67" s="52"/>
      <c r="S67" s="22"/>
      <c r="T67" s="22"/>
      <c r="U67" s="39"/>
      <c r="V67" s="52"/>
    </row>
    <row r="68" spans="1:22" ht="14.25" customHeight="1">
      <c r="A68" s="97"/>
      <c r="B68" s="73"/>
      <c r="C68" s="98"/>
      <c r="D68" s="95"/>
      <c r="E68" s="99"/>
      <c r="F68" s="127"/>
      <c r="G68" s="102"/>
      <c r="H68" s="35"/>
      <c r="I68" s="101"/>
      <c r="J68" s="35"/>
      <c r="K68" s="101"/>
      <c r="L68" s="35"/>
      <c r="M68" s="101"/>
      <c r="N68" s="19"/>
      <c r="O68" s="104"/>
      <c r="P68" s="29"/>
      <c r="Q68" s="56"/>
      <c r="R68" s="52"/>
      <c r="S68" s="22"/>
      <c r="T68" s="55"/>
      <c r="U68" s="57"/>
      <c r="V68" s="52"/>
    </row>
    <row r="69" spans="1:22" ht="12.75" customHeight="1">
      <c r="A69" s="97"/>
      <c r="B69" s="73"/>
      <c r="C69" s="20"/>
      <c r="D69" s="20"/>
      <c r="E69" s="105"/>
      <c r="F69" s="126"/>
      <c r="G69" s="106"/>
      <c r="H69" s="35"/>
      <c r="I69" s="18"/>
      <c r="J69" s="35"/>
      <c r="K69" s="18"/>
      <c r="L69" s="35"/>
      <c r="M69" s="106"/>
      <c r="N69" s="19"/>
      <c r="O69" s="18"/>
      <c r="P69" s="29"/>
      <c r="Q69" s="22"/>
      <c r="R69" s="52"/>
      <c r="S69" s="22"/>
      <c r="T69" s="22"/>
      <c r="U69" s="22"/>
      <c r="V69" s="52"/>
    </row>
    <row r="70" spans="1:22" ht="14.25" customHeight="1">
      <c r="A70" s="97"/>
      <c r="B70" s="81"/>
      <c r="C70" s="95"/>
      <c r="D70" s="95"/>
      <c r="E70" s="108"/>
      <c r="F70" s="128"/>
      <c r="G70" s="39"/>
      <c r="H70" s="35"/>
      <c r="I70" s="17"/>
      <c r="J70" s="35"/>
      <c r="K70" s="17"/>
      <c r="L70" s="35"/>
      <c r="M70" s="17"/>
      <c r="N70" s="19"/>
      <c r="O70" s="23"/>
      <c r="P70" s="29"/>
      <c r="Q70" s="17"/>
      <c r="R70" s="52"/>
      <c r="S70" s="22"/>
      <c r="T70" s="22"/>
      <c r="U70" s="39"/>
      <c r="V70" s="52"/>
    </row>
    <row r="71" spans="1:22" ht="14.25" customHeight="1">
      <c r="A71" s="97"/>
      <c r="B71" s="73"/>
      <c r="C71" s="20"/>
      <c r="D71" s="20"/>
      <c r="E71" s="20"/>
      <c r="F71" s="126"/>
      <c r="G71" s="110"/>
      <c r="H71" s="35"/>
      <c r="I71" s="18"/>
      <c r="J71" s="35"/>
      <c r="K71" s="18"/>
      <c r="L71" s="35"/>
      <c r="M71" s="110"/>
      <c r="N71" s="19"/>
      <c r="O71" s="110"/>
      <c r="P71" s="29"/>
      <c r="Q71" s="22"/>
      <c r="R71" s="52"/>
      <c r="S71" s="22"/>
      <c r="T71" s="22"/>
      <c r="U71" s="39"/>
      <c r="V71" s="52"/>
    </row>
    <row r="72" spans="1:22" ht="14.25" customHeight="1">
      <c r="A72" s="97"/>
      <c r="B72" s="73"/>
      <c r="C72" s="98"/>
      <c r="D72" s="95"/>
      <c r="E72" s="99"/>
      <c r="F72" s="127"/>
      <c r="G72" s="102"/>
      <c r="H72" s="35"/>
      <c r="I72" s="101"/>
      <c r="J72" s="35"/>
      <c r="K72" s="101"/>
      <c r="L72" s="35"/>
      <c r="M72" s="101"/>
      <c r="N72" s="19"/>
      <c r="O72" s="104"/>
      <c r="P72" s="29"/>
      <c r="Q72" s="56"/>
      <c r="R72" s="52"/>
      <c r="S72" s="22"/>
      <c r="T72" s="55"/>
      <c r="U72" s="57"/>
      <c r="V72" s="52"/>
    </row>
    <row r="73" spans="1:22" ht="12.75" customHeight="1">
      <c r="A73" s="97"/>
      <c r="B73" s="73"/>
      <c r="C73" s="20"/>
      <c r="D73" s="20"/>
      <c r="E73" s="105"/>
      <c r="F73" s="126"/>
      <c r="G73" s="106"/>
      <c r="H73" s="35"/>
      <c r="I73" s="18"/>
      <c r="J73" s="35"/>
      <c r="K73" s="18"/>
      <c r="L73" s="35"/>
      <c r="M73" s="106"/>
      <c r="N73" s="19"/>
      <c r="O73" s="18"/>
      <c r="P73" s="29"/>
      <c r="Q73" s="22"/>
      <c r="R73" s="52"/>
      <c r="S73" s="22"/>
      <c r="T73" s="22"/>
      <c r="U73" s="22"/>
      <c r="V73" s="52"/>
    </row>
    <row r="74" spans="1:22" ht="14.25" customHeight="1">
      <c r="A74" s="97"/>
      <c r="B74" s="81"/>
      <c r="C74" s="95"/>
      <c r="D74" s="95"/>
      <c r="E74" s="108"/>
      <c r="F74" s="128"/>
      <c r="G74" s="39"/>
      <c r="H74" s="35"/>
      <c r="I74" s="17"/>
      <c r="J74" s="35"/>
      <c r="K74" s="17"/>
      <c r="L74" s="35"/>
      <c r="M74" s="17"/>
      <c r="N74" s="19"/>
      <c r="O74" s="23"/>
      <c r="P74" s="29"/>
      <c r="Q74" s="17"/>
      <c r="R74" s="52"/>
      <c r="S74" s="22"/>
      <c r="T74" s="22"/>
      <c r="U74" s="39"/>
      <c r="V74" s="52"/>
    </row>
    <row r="75" spans="1:22" ht="14.25" customHeight="1">
      <c r="A75" s="97"/>
      <c r="B75" s="73"/>
      <c r="C75" s="20"/>
      <c r="D75" s="20"/>
      <c r="E75" s="20"/>
      <c r="F75" s="126"/>
      <c r="G75" s="110"/>
      <c r="H75" s="35"/>
      <c r="I75" s="18"/>
      <c r="J75" s="35"/>
      <c r="K75" s="18"/>
      <c r="L75" s="35"/>
      <c r="M75" s="110"/>
      <c r="N75" s="19"/>
      <c r="O75" s="110"/>
      <c r="P75" s="29"/>
      <c r="Q75" s="22"/>
      <c r="R75" s="52"/>
      <c r="S75" s="22"/>
      <c r="T75" s="22"/>
      <c r="U75" s="39"/>
      <c r="V75" s="52"/>
    </row>
    <row r="76" spans="1:22" ht="14.25" customHeight="1">
      <c r="A76" s="97"/>
      <c r="B76" s="73"/>
      <c r="C76" s="98"/>
      <c r="D76" s="95"/>
      <c r="E76" s="99"/>
      <c r="F76" s="127"/>
      <c r="G76" s="102"/>
      <c r="H76" s="35"/>
      <c r="I76" s="101"/>
      <c r="J76" s="35"/>
      <c r="K76" s="101"/>
      <c r="L76" s="35"/>
      <c r="M76" s="101"/>
      <c r="N76" s="19"/>
      <c r="O76" s="104"/>
      <c r="P76" s="29"/>
      <c r="Q76" s="56"/>
      <c r="R76" s="52"/>
      <c r="S76" s="22"/>
      <c r="T76" s="55"/>
      <c r="U76" s="57"/>
      <c r="V76" s="52"/>
    </row>
    <row r="77" spans="1:22" ht="12.75" customHeight="1">
      <c r="A77" s="97"/>
      <c r="B77" s="73"/>
      <c r="C77" s="20"/>
      <c r="D77" s="20"/>
      <c r="E77" s="105"/>
      <c r="F77" s="126"/>
      <c r="G77" s="106"/>
      <c r="H77" s="35"/>
      <c r="I77" s="18"/>
      <c r="J77" s="35"/>
      <c r="K77" s="18"/>
      <c r="L77" s="35"/>
      <c r="M77" s="106"/>
      <c r="N77" s="19"/>
      <c r="O77" s="18"/>
      <c r="P77" s="29"/>
      <c r="Q77" s="22"/>
      <c r="R77" s="52"/>
      <c r="S77" s="22"/>
      <c r="T77" s="22"/>
      <c r="U77" s="22"/>
      <c r="V77" s="52"/>
    </row>
    <row r="78" spans="1:22" ht="14.25" customHeight="1">
      <c r="A78" s="97"/>
      <c r="B78" s="81"/>
      <c r="C78" s="95"/>
      <c r="D78" s="95"/>
      <c r="E78" s="108"/>
      <c r="F78" s="128"/>
      <c r="G78" s="39"/>
      <c r="H78" s="35"/>
      <c r="I78" s="17"/>
      <c r="J78" s="35"/>
      <c r="K78" s="17"/>
      <c r="L78" s="35"/>
      <c r="M78" s="17"/>
      <c r="N78" s="19"/>
      <c r="O78" s="23"/>
      <c r="P78" s="29"/>
      <c r="Q78" s="17"/>
      <c r="R78" s="52"/>
      <c r="S78" s="22"/>
      <c r="T78" s="22"/>
      <c r="U78" s="39"/>
      <c r="V78" s="52"/>
    </row>
    <row r="79" spans="1:22" ht="14.25" customHeight="1">
      <c r="A79" s="97"/>
      <c r="B79" s="81"/>
      <c r="C79" s="20"/>
      <c r="D79" s="20"/>
      <c r="E79" s="20"/>
      <c r="F79" s="126"/>
      <c r="G79" s="110"/>
      <c r="H79" s="35"/>
      <c r="I79" s="18"/>
      <c r="J79" s="35"/>
      <c r="K79" s="18"/>
      <c r="L79" s="35"/>
      <c r="M79" s="110"/>
      <c r="N79" s="19"/>
      <c r="O79" s="110"/>
      <c r="P79" s="29"/>
      <c r="Q79" s="22"/>
      <c r="R79" s="52"/>
      <c r="S79" s="22"/>
      <c r="T79" s="22"/>
      <c r="U79" s="39"/>
      <c r="V79" s="52"/>
    </row>
    <row r="80" spans="1:22" ht="14.25" customHeight="1">
      <c r="A80" s="97"/>
      <c r="B80" s="81"/>
      <c r="C80" s="98"/>
      <c r="D80" s="95"/>
      <c r="E80" s="99"/>
      <c r="F80" s="127"/>
      <c r="G80" s="102"/>
      <c r="H80" s="35"/>
      <c r="I80" s="101"/>
      <c r="J80" s="35"/>
      <c r="K80" s="101"/>
      <c r="L80" s="35"/>
      <c r="M80" s="101"/>
      <c r="N80" s="19"/>
      <c r="O80" s="104"/>
      <c r="P80" s="29"/>
      <c r="Q80" s="56"/>
      <c r="R80" s="52"/>
      <c r="S80" s="22"/>
      <c r="T80" s="55"/>
      <c r="U80" s="57"/>
      <c r="V80" s="52"/>
    </row>
    <row r="81" spans="1:22" ht="12.75" customHeight="1">
      <c r="A81" s="97"/>
      <c r="B81" s="81"/>
      <c r="C81" s="20"/>
      <c r="D81" s="20"/>
      <c r="E81" s="105"/>
      <c r="F81" s="126"/>
      <c r="G81" s="106"/>
      <c r="H81" s="35"/>
      <c r="I81" s="18"/>
      <c r="J81" s="35"/>
      <c r="K81" s="18"/>
      <c r="L81" s="35"/>
      <c r="M81" s="106"/>
      <c r="N81" s="19"/>
      <c r="O81" s="18"/>
      <c r="P81" s="29"/>
      <c r="Q81" s="22"/>
      <c r="R81" s="52"/>
      <c r="S81" s="22"/>
      <c r="T81" s="22"/>
      <c r="U81" s="22"/>
      <c r="V81" s="52"/>
    </row>
    <row r="82" spans="1:22" ht="14.25" customHeight="1">
      <c r="A82" s="97"/>
      <c r="B82" s="81"/>
      <c r="C82" s="95"/>
      <c r="D82" s="95"/>
      <c r="E82" s="108"/>
      <c r="F82" s="128"/>
      <c r="G82" s="39"/>
      <c r="H82" s="35"/>
      <c r="I82" s="17"/>
      <c r="J82" s="35"/>
      <c r="K82" s="17"/>
      <c r="L82" s="35"/>
      <c r="M82" s="17"/>
      <c r="N82" s="19"/>
      <c r="O82" s="23"/>
      <c r="P82" s="29"/>
      <c r="Q82" s="17"/>
      <c r="R82" s="52"/>
      <c r="S82" s="22"/>
      <c r="T82" s="22"/>
      <c r="U82" s="39"/>
      <c r="V82" s="52"/>
    </row>
    <row r="83" spans="1:22" ht="14.25" customHeight="1">
      <c r="A83" s="97"/>
      <c r="B83" s="73"/>
      <c r="C83" s="20"/>
      <c r="D83" s="20"/>
      <c r="E83" s="38"/>
      <c r="F83" s="126"/>
      <c r="G83" s="110"/>
      <c r="H83" s="35"/>
      <c r="I83" s="18"/>
      <c r="J83" s="35"/>
      <c r="K83" s="18"/>
      <c r="L83" s="35"/>
      <c r="M83" s="110"/>
      <c r="N83" s="19"/>
      <c r="O83" s="110"/>
      <c r="P83" s="29"/>
      <c r="Q83" s="22"/>
      <c r="R83" s="52"/>
      <c r="S83" s="22"/>
      <c r="T83" s="22"/>
      <c r="U83" s="39"/>
      <c r="V83" s="52"/>
    </row>
    <row r="84" spans="1:22" ht="14.2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56"/>
      <c r="R84" s="52"/>
      <c r="S84" s="22"/>
      <c r="T84" s="55"/>
      <c r="U84" s="57"/>
      <c r="V84" s="52"/>
    </row>
    <row r="85" spans="1:22" ht="12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2"/>
      <c r="R85" s="52"/>
      <c r="S85" s="22"/>
      <c r="T85" s="22"/>
      <c r="U85" s="22"/>
      <c r="V85" s="52"/>
    </row>
    <row r="86" spans="1:22" ht="14.2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17"/>
      <c r="R86" s="52"/>
      <c r="S86" s="22"/>
      <c r="T86" s="22"/>
      <c r="U86" s="39"/>
      <c r="V86" s="52"/>
    </row>
    <row r="87" spans="1:22" ht="14.2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2"/>
      <c r="R87" s="52"/>
      <c r="S87" s="22"/>
      <c r="T87" s="22"/>
      <c r="U87" s="39"/>
      <c r="V87" s="52"/>
    </row>
    <row r="88" spans="1:21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</sheetData>
  <sheetProtection/>
  <printOptions/>
  <pageMargins left="0.2755905511811024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51"/>
  <sheetViews>
    <sheetView workbookViewId="0" topLeftCell="A1">
      <selection activeCell="K40" sqref="K40"/>
    </sheetView>
  </sheetViews>
  <sheetFormatPr defaultColWidth="9.140625" defaultRowHeight="12.75"/>
  <cols>
    <col min="1" max="1" width="8.57421875" style="0" customWidth="1"/>
    <col min="3" max="3" width="13.00390625" style="0" customWidth="1"/>
    <col min="5" max="5" width="19.00390625" style="0" customWidth="1"/>
    <col min="6" max="6" width="7.8515625" style="7" customWidth="1"/>
    <col min="7" max="7" width="10.00390625" style="0" customWidth="1"/>
    <col min="8" max="8" width="8.421875" style="7" customWidth="1"/>
    <col min="9" max="9" width="7.00390625" style="0" customWidth="1"/>
    <col min="10" max="10" width="6.421875" style="0" customWidth="1"/>
  </cols>
  <sheetData>
    <row r="2" spans="1:2" ht="15.75">
      <c r="A2" s="1" t="s">
        <v>30</v>
      </c>
      <c r="B2" s="1"/>
    </row>
    <row r="3" spans="1:2" ht="15.75">
      <c r="A3" s="130" t="s">
        <v>106</v>
      </c>
      <c r="B3" s="1"/>
    </row>
    <row r="4" spans="1:2" ht="15.75">
      <c r="A4" s="1" t="s">
        <v>120</v>
      </c>
      <c r="B4" s="1"/>
    </row>
    <row r="5" spans="1:2" ht="15.75">
      <c r="A5" s="1"/>
      <c r="B5" s="1"/>
    </row>
    <row r="7" spans="1:18" ht="16.5">
      <c r="A7" s="161" t="s">
        <v>54</v>
      </c>
      <c r="B7" s="162"/>
      <c r="C7" s="162"/>
      <c r="D7" s="162"/>
      <c r="E7" s="162"/>
      <c r="F7" s="163"/>
      <c r="G7" s="94" t="s">
        <v>53</v>
      </c>
      <c r="H7" s="168" t="s">
        <v>2</v>
      </c>
      <c r="I7" s="94" t="s">
        <v>108</v>
      </c>
      <c r="J7" s="167"/>
      <c r="K7" s="16"/>
      <c r="L7" s="16"/>
      <c r="M7" s="16"/>
      <c r="N7" s="16"/>
      <c r="O7" s="16"/>
      <c r="P7" s="16"/>
      <c r="Q7" s="16"/>
      <c r="R7" s="16"/>
    </row>
    <row r="8" spans="1:18" ht="16.5">
      <c r="A8" s="164">
        <v>831</v>
      </c>
      <c r="B8" s="162" t="s">
        <v>112</v>
      </c>
      <c r="C8" s="162"/>
      <c r="D8" s="162" t="s">
        <v>66</v>
      </c>
      <c r="E8" s="162"/>
      <c r="F8" s="163" t="s">
        <v>60</v>
      </c>
      <c r="G8" s="166" t="s">
        <v>307</v>
      </c>
      <c r="H8" s="163">
        <v>1</v>
      </c>
      <c r="I8" s="94"/>
      <c r="J8" s="167"/>
      <c r="K8" s="16"/>
      <c r="L8" s="16"/>
      <c r="M8" s="16"/>
      <c r="N8" s="16"/>
      <c r="O8" s="16"/>
      <c r="P8" s="16"/>
      <c r="Q8" s="16"/>
      <c r="R8" s="16"/>
    </row>
    <row r="9" spans="1:10" ht="16.5">
      <c r="A9" s="164">
        <v>833</v>
      </c>
      <c r="B9" s="162" t="s">
        <v>113</v>
      </c>
      <c r="C9" s="162"/>
      <c r="D9" s="162" t="s">
        <v>284</v>
      </c>
      <c r="E9" s="162"/>
      <c r="F9" s="163" t="s">
        <v>60</v>
      </c>
      <c r="G9" s="166" t="s">
        <v>309</v>
      </c>
      <c r="H9" s="163">
        <v>2</v>
      </c>
      <c r="I9" s="162"/>
      <c r="J9" s="162"/>
    </row>
    <row r="10" spans="1:10" ht="16.5">
      <c r="A10" s="164">
        <v>834</v>
      </c>
      <c r="B10" s="162" t="s">
        <v>90</v>
      </c>
      <c r="C10" s="162"/>
      <c r="D10" s="162" t="s">
        <v>66</v>
      </c>
      <c r="E10" s="162"/>
      <c r="F10" s="163" t="s">
        <v>60</v>
      </c>
      <c r="G10" s="166" t="s">
        <v>310</v>
      </c>
      <c r="H10" s="163">
        <v>3</v>
      </c>
      <c r="I10" s="162"/>
      <c r="J10" s="162"/>
    </row>
    <row r="11" spans="1:10" ht="16.5">
      <c r="A11" s="164">
        <v>835</v>
      </c>
      <c r="B11" s="162" t="s">
        <v>70</v>
      </c>
      <c r="C11" s="162"/>
      <c r="D11" s="162" t="s">
        <v>66</v>
      </c>
      <c r="E11" s="162"/>
      <c r="F11" s="163" t="s">
        <v>60</v>
      </c>
      <c r="G11" s="166" t="s">
        <v>313</v>
      </c>
      <c r="H11" s="163">
        <v>4</v>
      </c>
      <c r="I11" s="162"/>
      <c r="J11" s="162"/>
    </row>
    <row r="12" spans="1:10" ht="16.5">
      <c r="A12" s="164">
        <v>836</v>
      </c>
      <c r="B12" s="162" t="s">
        <v>279</v>
      </c>
      <c r="C12" s="162"/>
      <c r="D12" s="162" t="s">
        <v>285</v>
      </c>
      <c r="E12" s="162"/>
      <c r="F12" s="163" t="s">
        <v>62</v>
      </c>
      <c r="G12" s="166" t="s">
        <v>314</v>
      </c>
      <c r="H12" s="163">
        <v>5</v>
      </c>
      <c r="I12" s="162"/>
      <c r="J12" s="162"/>
    </row>
    <row r="13" spans="1:10" ht="16.5">
      <c r="A13" s="164">
        <v>830</v>
      </c>
      <c r="B13" s="162" t="s">
        <v>92</v>
      </c>
      <c r="C13" s="162"/>
      <c r="D13" s="162" t="s">
        <v>79</v>
      </c>
      <c r="E13" s="162"/>
      <c r="F13" s="163" t="s">
        <v>60</v>
      </c>
      <c r="G13" s="166" t="s">
        <v>315</v>
      </c>
      <c r="H13" s="163">
        <v>6</v>
      </c>
      <c r="I13" s="162"/>
      <c r="J13" s="162"/>
    </row>
    <row r="14" spans="1:10" ht="16.5">
      <c r="A14" s="164">
        <v>838</v>
      </c>
      <c r="B14" s="162" t="s">
        <v>115</v>
      </c>
      <c r="C14" s="162"/>
      <c r="D14" s="162" t="s">
        <v>86</v>
      </c>
      <c r="E14" s="162"/>
      <c r="F14" s="163" t="s">
        <v>62</v>
      </c>
      <c r="G14" s="166" t="s">
        <v>317</v>
      </c>
      <c r="H14" s="163">
        <v>7</v>
      </c>
      <c r="I14" s="162"/>
      <c r="J14" s="162"/>
    </row>
    <row r="15" spans="1:10" ht="16.5">
      <c r="A15" s="164">
        <v>837</v>
      </c>
      <c r="B15" s="162" t="s">
        <v>91</v>
      </c>
      <c r="C15" s="162"/>
      <c r="D15" s="162" t="s">
        <v>80</v>
      </c>
      <c r="E15" s="162"/>
      <c r="F15" s="163" t="s">
        <v>62</v>
      </c>
      <c r="G15" s="166" t="s">
        <v>318</v>
      </c>
      <c r="H15" s="163">
        <v>8</v>
      </c>
      <c r="I15" s="162"/>
      <c r="J15" s="162"/>
    </row>
    <row r="16" spans="1:10" ht="16.5">
      <c r="A16" s="164">
        <v>839</v>
      </c>
      <c r="B16" s="162" t="s">
        <v>114</v>
      </c>
      <c r="C16" s="162"/>
      <c r="D16" s="162" t="s">
        <v>265</v>
      </c>
      <c r="E16" s="162"/>
      <c r="F16" s="163" t="s">
        <v>62</v>
      </c>
      <c r="G16" s="166" t="s">
        <v>320</v>
      </c>
      <c r="H16" s="163">
        <v>9</v>
      </c>
      <c r="I16" s="162"/>
      <c r="J16" s="162"/>
    </row>
    <row r="17" spans="1:10" ht="16.5">
      <c r="A17" s="164">
        <v>842</v>
      </c>
      <c r="B17" s="162" t="s">
        <v>117</v>
      </c>
      <c r="C17" s="162"/>
      <c r="D17" s="162" t="s">
        <v>101</v>
      </c>
      <c r="E17" s="162"/>
      <c r="F17" s="163" t="s">
        <v>116</v>
      </c>
      <c r="G17" s="166" t="s">
        <v>321</v>
      </c>
      <c r="H17" s="163">
        <v>10</v>
      </c>
      <c r="I17" s="162"/>
      <c r="J17" s="162"/>
    </row>
    <row r="18" spans="1:10" ht="16.5">
      <c r="A18" s="164">
        <v>840</v>
      </c>
      <c r="B18" s="162" t="s">
        <v>58</v>
      </c>
      <c r="C18" s="162"/>
      <c r="D18" s="162" t="s">
        <v>61</v>
      </c>
      <c r="E18" s="162"/>
      <c r="F18" s="163" t="s">
        <v>282</v>
      </c>
      <c r="G18" s="166" t="s">
        <v>322</v>
      </c>
      <c r="H18" s="163">
        <v>11</v>
      </c>
      <c r="I18" s="162"/>
      <c r="J18" s="162"/>
    </row>
    <row r="19" spans="1:10" ht="16.5">
      <c r="A19" s="164">
        <v>841</v>
      </c>
      <c r="B19" s="162" t="s">
        <v>281</v>
      </c>
      <c r="C19" s="162"/>
      <c r="D19" s="162" t="s">
        <v>283</v>
      </c>
      <c r="E19" s="162"/>
      <c r="F19" s="163" t="s">
        <v>282</v>
      </c>
      <c r="G19" s="166" t="s">
        <v>323</v>
      </c>
      <c r="H19" s="163">
        <v>12</v>
      </c>
      <c r="I19" s="162"/>
      <c r="J19" s="162"/>
    </row>
    <row r="20" spans="1:10" ht="16.5">
      <c r="A20" s="164">
        <v>832</v>
      </c>
      <c r="B20" s="162" t="s">
        <v>280</v>
      </c>
      <c r="C20" s="162"/>
      <c r="D20" s="162" t="s">
        <v>283</v>
      </c>
      <c r="E20" s="162"/>
      <c r="F20" s="163" t="s">
        <v>60</v>
      </c>
      <c r="G20" s="166" t="s">
        <v>325</v>
      </c>
      <c r="H20" s="163">
        <v>13</v>
      </c>
      <c r="I20" s="162"/>
      <c r="J20" s="162"/>
    </row>
    <row r="21" spans="1:10" ht="21" customHeight="1">
      <c r="A21" s="164"/>
      <c r="B21" s="162"/>
      <c r="C21" s="162"/>
      <c r="D21" s="162"/>
      <c r="E21" s="162"/>
      <c r="F21" s="163"/>
      <c r="G21" s="165"/>
      <c r="H21" s="163"/>
      <c r="I21" s="162"/>
      <c r="J21" s="162"/>
    </row>
    <row r="22" spans="1:10" ht="16.5">
      <c r="A22" s="161" t="s">
        <v>55</v>
      </c>
      <c r="B22" s="162"/>
      <c r="C22" s="162"/>
      <c r="D22" s="162"/>
      <c r="E22" s="162"/>
      <c r="F22" s="163"/>
      <c r="G22" s="94" t="s">
        <v>53</v>
      </c>
      <c r="H22" s="168" t="s">
        <v>2</v>
      </c>
      <c r="I22" s="94" t="s">
        <v>108</v>
      </c>
      <c r="J22" s="162"/>
    </row>
    <row r="23" spans="1:10" ht="16.5">
      <c r="A23" s="164">
        <v>843</v>
      </c>
      <c r="B23" s="162" t="s">
        <v>274</v>
      </c>
      <c r="C23" s="162"/>
      <c r="D23" s="162" t="s">
        <v>265</v>
      </c>
      <c r="E23" s="162"/>
      <c r="F23" s="163" t="s">
        <v>67</v>
      </c>
      <c r="G23" s="166" t="s">
        <v>308</v>
      </c>
      <c r="H23" s="163">
        <v>1</v>
      </c>
      <c r="I23" s="162"/>
      <c r="J23" s="162"/>
    </row>
    <row r="24" spans="1:10" ht="16.5">
      <c r="A24" s="164">
        <v>846</v>
      </c>
      <c r="B24" s="162" t="s">
        <v>273</v>
      </c>
      <c r="C24" s="162"/>
      <c r="D24" s="162" t="s">
        <v>265</v>
      </c>
      <c r="E24" s="162"/>
      <c r="F24" s="163" t="s">
        <v>68</v>
      </c>
      <c r="G24" s="166" t="s">
        <v>311</v>
      </c>
      <c r="H24" s="163">
        <v>2</v>
      </c>
      <c r="I24" s="162"/>
      <c r="J24" s="162"/>
    </row>
    <row r="25" spans="1:10" ht="16.5">
      <c r="A25" s="164">
        <v>844</v>
      </c>
      <c r="B25" s="162" t="s">
        <v>275</v>
      </c>
      <c r="C25" s="162"/>
      <c r="D25" s="162" t="s">
        <v>64</v>
      </c>
      <c r="E25" s="162"/>
      <c r="F25" s="163" t="s">
        <v>65</v>
      </c>
      <c r="G25" s="166" t="s">
        <v>312</v>
      </c>
      <c r="H25" s="163">
        <v>3</v>
      </c>
      <c r="I25" s="162"/>
      <c r="J25" s="162"/>
    </row>
    <row r="26" spans="1:10" ht="16.5">
      <c r="A26" s="164">
        <v>848</v>
      </c>
      <c r="B26" s="162" t="s">
        <v>277</v>
      </c>
      <c r="C26" s="162"/>
      <c r="D26" s="162" t="s">
        <v>66</v>
      </c>
      <c r="E26" s="162"/>
      <c r="F26" s="163" t="s">
        <v>69</v>
      </c>
      <c r="G26" s="166" t="s">
        <v>316</v>
      </c>
      <c r="H26" s="163">
        <v>4</v>
      </c>
      <c r="I26" s="162"/>
      <c r="J26" s="162"/>
    </row>
    <row r="27" spans="1:10" ht="16.5">
      <c r="A27" s="164">
        <v>847</v>
      </c>
      <c r="B27" s="162" t="s">
        <v>119</v>
      </c>
      <c r="C27" s="162"/>
      <c r="D27" s="162" t="s">
        <v>103</v>
      </c>
      <c r="E27" s="162"/>
      <c r="F27" s="163" t="s">
        <v>68</v>
      </c>
      <c r="G27" s="166" t="s">
        <v>319</v>
      </c>
      <c r="H27" s="163">
        <v>5</v>
      </c>
      <c r="I27" s="162"/>
      <c r="J27" s="162"/>
    </row>
    <row r="28" spans="1:10" ht="16.5">
      <c r="A28" s="164">
        <v>849</v>
      </c>
      <c r="B28" s="162" t="s">
        <v>278</v>
      </c>
      <c r="C28" s="162"/>
      <c r="D28" s="162" t="s">
        <v>283</v>
      </c>
      <c r="E28" s="162"/>
      <c r="F28" s="163" t="s">
        <v>60</v>
      </c>
      <c r="G28" s="166" t="s">
        <v>324</v>
      </c>
      <c r="H28" s="163">
        <v>6</v>
      </c>
      <c r="I28" s="162"/>
      <c r="J28" s="162"/>
    </row>
    <row r="29" spans="1:10" ht="21" customHeight="1">
      <c r="A29" s="164"/>
      <c r="B29" s="162"/>
      <c r="C29" s="162"/>
      <c r="D29" s="162"/>
      <c r="E29" s="162"/>
      <c r="F29" s="163"/>
      <c r="G29" s="165"/>
      <c r="H29" s="163"/>
      <c r="I29" s="162"/>
      <c r="J29" s="162"/>
    </row>
    <row r="30" spans="1:10" ht="16.5">
      <c r="A30" s="161" t="s">
        <v>56</v>
      </c>
      <c r="B30" s="162"/>
      <c r="C30" s="162"/>
      <c r="D30" s="162"/>
      <c r="E30" s="162"/>
      <c r="F30" s="163"/>
      <c r="G30" s="94" t="s">
        <v>53</v>
      </c>
      <c r="H30" s="168" t="s">
        <v>2</v>
      </c>
      <c r="I30" s="94" t="s">
        <v>108</v>
      </c>
      <c r="J30" s="162"/>
    </row>
    <row r="31" spans="1:10" ht="16.5">
      <c r="A31" s="164">
        <v>863</v>
      </c>
      <c r="B31" s="162" t="s">
        <v>295</v>
      </c>
      <c r="C31" s="162"/>
      <c r="D31" s="162" t="s">
        <v>298</v>
      </c>
      <c r="E31" s="162"/>
      <c r="F31" s="163" t="s">
        <v>118</v>
      </c>
      <c r="G31" s="166" t="s">
        <v>334</v>
      </c>
      <c r="H31" s="163">
        <v>1</v>
      </c>
      <c r="I31" s="162"/>
      <c r="J31" s="162"/>
    </row>
    <row r="32" spans="1:10" ht="16.5">
      <c r="A32" s="164">
        <v>851</v>
      </c>
      <c r="B32" s="162" t="s">
        <v>288</v>
      </c>
      <c r="C32" s="162"/>
      <c r="D32" s="162" t="s">
        <v>177</v>
      </c>
      <c r="E32" s="162"/>
      <c r="F32" s="163" t="s">
        <v>63</v>
      </c>
      <c r="G32" s="170" t="s">
        <v>335</v>
      </c>
      <c r="H32" s="163">
        <v>2</v>
      </c>
      <c r="I32" s="162"/>
      <c r="J32" s="162"/>
    </row>
    <row r="33" spans="1:10" ht="16.5">
      <c r="A33" s="164">
        <v>850</v>
      </c>
      <c r="B33" s="162" t="s">
        <v>287</v>
      </c>
      <c r="C33" s="162"/>
      <c r="D33" s="162" t="s">
        <v>64</v>
      </c>
      <c r="E33" s="162"/>
      <c r="F33" s="163" t="s">
        <v>63</v>
      </c>
      <c r="G33" s="170" t="s">
        <v>336</v>
      </c>
      <c r="H33" s="163">
        <v>3</v>
      </c>
      <c r="I33" s="162"/>
      <c r="J33" s="162"/>
    </row>
    <row r="34" spans="1:10" ht="16.5">
      <c r="A34" s="164">
        <v>852</v>
      </c>
      <c r="B34" s="162" t="s">
        <v>289</v>
      </c>
      <c r="C34" s="162"/>
      <c r="D34" s="162" t="s">
        <v>296</v>
      </c>
      <c r="E34" s="162"/>
      <c r="F34" s="163" t="s">
        <v>67</v>
      </c>
      <c r="G34" s="166" t="s">
        <v>337</v>
      </c>
      <c r="H34" s="163">
        <v>4</v>
      </c>
      <c r="I34" s="162"/>
      <c r="J34" s="162"/>
    </row>
    <row r="35" spans="1:10" ht="16.5">
      <c r="A35" s="164">
        <v>859</v>
      </c>
      <c r="B35" s="162" t="s">
        <v>294</v>
      </c>
      <c r="C35" s="162"/>
      <c r="D35" s="162" t="s">
        <v>64</v>
      </c>
      <c r="E35" s="162"/>
      <c r="F35" s="163" t="s">
        <v>69</v>
      </c>
      <c r="G35" s="166" t="s">
        <v>338</v>
      </c>
      <c r="H35" s="163">
        <v>5</v>
      </c>
      <c r="I35" s="162"/>
      <c r="J35" s="162"/>
    </row>
    <row r="36" spans="1:10" ht="16.5">
      <c r="A36" s="164">
        <v>862</v>
      </c>
      <c r="B36" s="162" t="s">
        <v>93</v>
      </c>
      <c r="C36" s="162"/>
      <c r="D36" s="162" t="s">
        <v>283</v>
      </c>
      <c r="E36" s="162"/>
      <c r="F36" s="163" t="s">
        <v>302</v>
      </c>
      <c r="G36" s="166" t="s">
        <v>339</v>
      </c>
      <c r="H36" s="163">
        <v>6</v>
      </c>
      <c r="I36" s="162"/>
      <c r="J36" s="162"/>
    </row>
    <row r="37" spans="1:10" ht="16.5">
      <c r="A37" s="164">
        <v>856</v>
      </c>
      <c r="B37" s="162" t="s">
        <v>110</v>
      </c>
      <c r="C37" s="162"/>
      <c r="D37" s="162" t="s">
        <v>250</v>
      </c>
      <c r="E37" s="162"/>
      <c r="F37" s="163" t="s">
        <v>68</v>
      </c>
      <c r="G37" s="170" t="s">
        <v>340</v>
      </c>
      <c r="H37" s="163">
        <v>7</v>
      </c>
      <c r="I37" s="162"/>
      <c r="J37" s="162"/>
    </row>
    <row r="38" spans="1:10" ht="16.5">
      <c r="A38" s="164">
        <v>853</v>
      </c>
      <c r="B38" s="162" t="s">
        <v>109</v>
      </c>
      <c r="C38" s="162"/>
      <c r="D38" s="162" t="s">
        <v>257</v>
      </c>
      <c r="E38" s="162"/>
      <c r="F38" s="163" t="s">
        <v>67</v>
      </c>
      <c r="G38" s="166" t="s">
        <v>341</v>
      </c>
      <c r="H38" s="163">
        <v>8</v>
      </c>
      <c r="I38" s="162"/>
      <c r="J38" s="162"/>
    </row>
    <row r="39" spans="1:10" ht="16.5">
      <c r="A39" s="164">
        <v>857</v>
      </c>
      <c r="B39" s="162" t="s">
        <v>292</v>
      </c>
      <c r="C39" s="162"/>
      <c r="D39" s="162" t="s">
        <v>297</v>
      </c>
      <c r="E39" s="162"/>
      <c r="F39" s="163" t="s">
        <v>68</v>
      </c>
      <c r="G39" s="166" t="s">
        <v>342</v>
      </c>
      <c r="H39" s="163">
        <v>9</v>
      </c>
      <c r="I39" s="162"/>
      <c r="J39" s="162"/>
    </row>
    <row r="40" spans="1:10" ht="16.5">
      <c r="A40" s="164">
        <v>854</v>
      </c>
      <c r="B40" s="162" t="s">
        <v>290</v>
      </c>
      <c r="C40" s="162"/>
      <c r="D40" s="162" t="s">
        <v>64</v>
      </c>
      <c r="E40" s="162"/>
      <c r="F40" s="163" t="s">
        <v>67</v>
      </c>
      <c r="G40" s="166" t="s">
        <v>343</v>
      </c>
      <c r="H40" s="163">
        <v>10</v>
      </c>
      <c r="I40" s="162"/>
      <c r="J40" s="162"/>
    </row>
    <row r="41" spans="1:10" ht="16.5">
      <c r="A41" s="164">
        <v>858</v>
      </c>
      <c r="B41" s="162" t="s">
        <v>293</v>
      </c>
      <c r="C41" s="162"/>
      <c r="D41" s="162" t="s">
        <v>227</v>
      </c>
      <c r="E41" s="162"/>
      <c r="F41" s="163" t="s">
        <v>69</v>
      </c>
      <c r="G41" s="166" t="s">
        <v>344</v>
      </c>
      <c r="H41" s="163">
        <v>11</v>
      </c>
      <c r="I41" s="162"/>
      <c r="J41" s="162"/>
    </row>
    <row r="42" spans="1:10" ht="16.5">
      <c r="A42" s="164">
        <v>860</v>
      </c>
      <c r="B42" s="162" t="s">
        <v>111</v>
      </c>
      <c r="C42" s="162"/>
      <c r="D42" s="162" t="s">
        <v>257</v>
      </c>
      <c r="E42" s="162"/>
      <c r="F42" s="163" t="s">
        <v>302</v>
      </c>
      <c r="G42" s="166" t="s">
        <v>345</v>
      </c>
      <c r="H42" s="163">
        <v>12</v>
      </c>
      <c r="I42" s="162"/>
      <c r="J42" s="162"/>
    </row>
    <row r="43" spans="1:10" ht="16.5">
      <c r="A43" s="164">
        <v>861</v>
      </c>
      <c r="B43" s="162" t="s">
        <v>85</v>
      </c>
      <c r="C43" s="162"/>
      <c r="D43" s="162" t="s">
        <v>86</v>
      </c>
      <c r="E43" s="162"/>
      <c r="F43" s="163" t="s">
        <v>302</v>
      </c>
      <c r="G43" s="166" t="s">
        <v>346</v>
      </c>
      <c r="H43" s="163">
        <v>13</v>
      </c>
      <c r="I43" s="162"/>
      <c r="J43" s="162"/>
    </row>
    <row r="44" spans="1:10" ht="16.5">
      <c r="A44" s="164">
        <v>855</v>
      </c>
      <c r="B44" s="162" t="s">
        <v>291</v>
      </c>
      <c r="C44" s="162"/>
      <c r="D44" s="162" t="s">
        <v>286</v>
      </c>
      <c r="E44" s="162"/>
      <c r="F44" s="163" t="s">
        <v>68</v>
      </c>
      <c r="G44" s="166" t="s">
        <v>347</v>
      </c>
      <c r="H44" s="163">
        <v>14</v>
      </c>
      <c r="I44" s="162"/>
      <c r="J44" s="162"/>
    </row>
    <row r="45" spans="1:10" ht="21" customHeight="1">
      <c r="A45" s="164"/>
      <c r="B45" s="162"/>
      <c r="C45" s="162"/>
      <c r="D45" s="162"/>
      <c r="E45" s="162"/>
      <c r="F45" s="163"/>
      <c r="G45" s="165"/>
      <c r="H45" s="163"/>
      <c r="I45" s="162"/>
      <c r="J45" s="162"/>
    </row>
    <row r="46" spans="1:10" ht="16.5">
      <c r="A46" s="161" t="s">
        <v>107</v>
      </c>
      <c r="B46" s="162"/>
      <c r="C46" s="162"/>
      <c r="D46" s="162"/>
      <c r="E46" s="162"/>
      <c r="F46" s="163"/>
      <c r="G46" s="94" t="s">
        <v>53</v>
      </c>
      <c r="H46" s="168" t="s">
        <v>2</v>
      </c>
      <c r="I46" s="94" t="s">
        <v>108</v>
      </c>
      <c r="J46" s="162"/>
    </row>
    <row r="47" spans="1:10" ht="16.5">
      <c r="A47" s="164">
        <v>845</v>
      </c>
      <c r="B47" s="162" t="s">
        <v>276</v>
      </c>
      <c r="C47" s="162"/>
      <c r="D47" s="162" t="s">
        <v>286</v>
      </c>
      <c r="E47" s="162"/>
      <c r="F47" s="163" t="s">
        <v>68</v>
      </c>
      <c r="G47" s="196" t="s">
        <v>332</v>
      </c>
      <c r="H47" s="163">
        <v>1</v>
      </c>
      <c r="I47" s="162"/>
      <c r="J47" s="162"/>
    </row>
    <row r="48" spans="1:8" ht="16.5">
      <c r="A48" s="164">
        <v>864</v>
      </c>
      <c r="B48" s="162" t="s">
        <v>299</v>
      </c>
      <c r="C48" s="162"/>
      <c r="D48" s="162" t="s">
        <v>103</v>
      </c>
      <c r="E48" s="162"/>
      <c r="F48" s="163" t="s">
        <v>69</v>
      </c>
      <c r="G48" s="196" t="s">
        <v>333</v>
      </c>
      <c r="H48" s="178">
        <v>2</v>
      </c>
    </row>
    <row r="49" spans="1:8" ht="16.5">
      <c r="A49" s="164"/>
      <c r="B49" s="162"/>
      <c r="C49" s="162"/>
      <c r="D49" s="162"/>
      <c r="E49" s="162"/>
      <c r="F49" s="163"/>
      <c r="G49" s="196"/>
      <c r="H49" s="163"/>
    </row>
    <row r="50" spans="1:8" ht="16.5">
      <c r="A50" s="164"/>
      <c r="B50" s="162"/>
      <c r="F50" s="163"/>
      <c r="G50" s="183"/>
      <c r="H50" s="178"/>
    </row>
    <row r="51" spans="1:8" ht="16.5">
      <c r="A51" s="164"/>
      <c r="B51" s="162"/>
      <c r="F51" s="163"/>
      <c r="G51" s="183"/>
      <c r="H51" s="163"/>
    </row>
  </sheetData>
  <sheetProtection/>
  <printOptions/>
  <pageMargins left="0" right="0" top="0" bottom="0" header="0.5118099300087489" footer="0.5118099300087489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zoomScalePageLayoutView="0" workbookViewId="0" topLeftCell="B1">
      <selection activeCell="M36" sqref="M36"/>
    </sheetView>
  </sheetViews>
  <sheetFormatPr defaultColWidth="9.140625" defaultRowHeight="12.75"/>
  <sheetData>
    <row r="1" spans="1:10" ht="12.75">
      <c r="A1" s="3" t="s">
        <v>45</v>
      </c>
      <c r="B1" s="4"/>
      <c r="D1" s="3" t="s">
        <v>46</v>
      </c>
      <c r="E1" s="4"/>
      <c r="G1" s="71" t="s">
        <v>41</v>
      </c>
      <c r="J1" s="68" t="s">
        <v>40</v>
      </c>
    </row>
    <row r="2" spans="1:5" ht="12.75">
      <c r="A2" s="3"/>
      <c r="B2" s="4"/>
      <c r="D2" s="3"/>
      <c r="E2" s="4"/>
    </row>
    <row r="3" spans="1:11" ht="12.75">
      <c r="A3" s="3">
        <v>9</v>
      </c>
      <c r="B3" s="5" t="s">
        <v>5</v>
      </c>
      <c r="D3" s="3">
        <v>8.3</v>
      </c>
      <c r="E3" s="5" t="s">
        <v>5</v>
      </c>
      <c r="G3" s="87">
        <v>8</v>
      </c>
      <c r="H3" s="16">
        <v>1033</v>
      </c>
      <c r="J3" s="87">
        <v>8</v>
      </c>
      <c r="K3" s="16">
        <v>1122</v>
      </c>
    </row>
    <row r="4" spans="1:11" ht="12.75">
      <c r="A4" s="3">
        <v>9.1</v>
      </c>
      <c r="B4" s="5" t="s">
        <v>6</v>
      </c>
      <c r="D4" s="3">
        <v>8.4</v>
      </c>
      <c r="E4" s="5" t="s">
        <v>6</v>
      </c>
      <c r="G4" s="16">
        <v>8.1</v>
      </c>
      <c r="H4" s="16">
        <v>1021</v>
      </c>
      <c r="J4" s="16">
        <v>8.1</v>
      </c>
      <c r="K4" s="16">
        <v>1103</v>
      </c>
    </row>
    <row r="5" spans="1:11" ht="12.75">
      <c r="A5" s="3">
        <v>9.2</v>
      </c>
      <c r="B5" s="5" t="s">
        <v>6</v>
      </c>
      <c r="D5" s="3">
        <v>8.5</v>
      </c>
      <c r="E5" s="5" t="s">
        <v>6</v>
      </c>
      <c r="G5" s="87">
        <v>8.2</v>
      </c>
      <c r="H5" s="16">
        <v>1008</v>
      </c>
      <c r="J5" s="87">
        <v>8.2</v>
      </c>
      <c r="K5" s="16">
        <v>1084</v>
      </c>
    </row>
    <row r="6" spans="1:11" ht="12.75">
      <c r="A6" s="3">
        <v>9.3</v>
      </c>
      <c r="B6" s="5" t="s">
        <v>6</v>
      </c>
      <c r="D6" s="3">
        <v>8.6</v>
      </c>
      <c r="E6" s="5" t="s">
        <v>6</v>
      </c>
      <c r="G6" s="16">
        <v>8.3</v>
      </c>
      <c r="H6" s="16">
        <v>995</v>
      </c>
      <c r="J6" s="16">
        <v>8.3</v>
      </c>
      <c r="K6" s="16">
        <v>1066</v>
      </c>
    </row>
    <row r="7" spans="1:11" ht="12.75">
      <c r="A7" s="3">
        <v>9.4</v>
      </c>
      <c r="B7" s="5" t="s">
        <v>6</v>
      </c>
      <c r="D7" s="3">
        <v>8.7</v>
      </c>
      <c r="E7" s="5" t="s">
        <v>6</v>
      </c>
      <c r="G7" s="87">
        <v>8.4</v>
      </c>
      <c r="H7" s="16">
        <v>982</v>
      </c>
      <c r="J7" s="87">
        <v>8.4</v>
      </c>
      <c r="K7" s="16">
        <v>1048</v>
      </c>
    </row>
    <row r="8" spans="1:11" ht="12.75">
      <c r="A8" s="3">
        <v>9.5</v>
      </c>
      <c r="B8" s="5" t="s">
        <v>6</v>
      </c>
      <c r="D8" s="3">
        <v>8.9</v>
      </c>
      <c r="E8" s="5" t="s">
        <v>6</v>
      </c>
      <c r="G8" s="16">
        <v>8.5</v>
      </c>
      <c r="H8" s="16">
        <v>970</v>
      </c>
      <c r="J8" s="16">
        <v>8.5</v>
      </c>
      <c r="K8" s="16">
        <v>1030</v>
      </c>
    </row>
    <row r="9" spans="1:11" ht="12.75">
      <c r="A9" s="3">
        <v>9.6</v>
      </c>
      <c r="B9" s="5" t="s">
        <v>6</v>
      </c>
      <c r="D9" s="3">
        <v>9</v>
      </c>
      <c r="E9" s="5" t="s">
        <v>6</v>
      </c>
      <c r="G9" s="87">
        <v>8.6</v>
      </c>
      <c r="H9" s="16">
        <v>958</v>
      </c>
      <c r="J9" s="87">
        <v>8.6</v>
      </c>
      <c r="K9" s="16">
        <v>1012</v>
      </c>
    </row>
    <row r="10" spans="1:11" ht="12.75">
      <c r="A10" s="3">
        <v>9.7</v>
      </c>
      <c r="B10" s="4">
        <v>1182</v>
      </c>
      <c r="D10" s="3">
        <v>9.1</v>
      </c>
      <c r="E10" s="4">
        <v>1103</v>
      </c>
      <c r="G10" s="16">
        <v>8.7</v>
      </c>
      <c r="H10" s="16">
        <v>945</v>
      </c>
      <c r="J10" s="16">
        <v>8.7</v>
      </c>
      <c r="K10" s="16">
        <v>995</v>
      </c>
    </row>
    <row r="11" spans="1:11" ht="12.75">
      <c r="A11" s="3">
        <v>9.8</v>
      </c>
      <c r="B11" s="4">
        <v>1162</v>
      </c>
      <c r="D11" s="3">
        <v>9.2</v>
      </c>
      <c r="E11" s="4">
        <v>1084</v>
      </c>
      <c r="G11" s="87">
        <v>8.8</v>
      </c>
      <c r="H11" s="16">
        <v>933</v>
      </c>
      <c r="J11" s="87">
        <v>8.8</v>
      </c>
      <c r="K11" s="16">
        <v>978</v>
      </c>
    </row>
    <row r="12" spans="1:11" ht="12.75">
      <c r="A12" s="3">
        <v>9.9</v>
      </c>
      <c r="B12" s="4">
        <v>1142</v>
      </c>
      <c r="D12" s="3">
        <v>9.3</v>
      </c>
      <c r="E12" s="4">
        <v>1066</v>
      </c>
      <c r="G12" s="16">
        <v>8.9</v>
      </c>
      <c r="H12" s="16">
        <v>921</v>
      </c>
      <c r="J12" s="16">
        <v>8.9</v>
      </c>
      <c r="K12" s="16">
        <v>962</v>
      </c>
    </row>
    <row r="13" spans="1:11" ht="12.75">
      <c r="A13" s="3">
        <v>10</v>
      </c>
      <c r="B13" s="4">
        <v>1122</v>
      </c>
      <c r="D13" s="3">
        <v>9.4</v>
      </c>
      <c r="E13" s="4">
        <v>1048</v>
      </c>
      <c r="G13" s="87">
        <v>9</v>
      </c>
      <c r="H13" s="16">
        <v>908</v>
      </c>
      <c r="J13" s="87">
        <v>9</v>
      </c>
      <c r="K13" s="16">
        <v>946</v>
      </c>
    </row>
    <row r="14" spans="1:11" ht="12.75">
      <c r="A14" s="3">
        <v>10.1</v>
      </c>
      <c r="B14" s="4">
        <v>1103</v>
      </c>
      <c r="D14" s="3">
        <v>9.5</v>
      </c>
      <c r="E14" s="4">
        <v>1030</v>
      </c>
      <c r="G14" s="16">
        <v>9.1</v>
      </c>
      <c r="H14" s="16">
        <v>896</v>
      </c>
      <c r="J14" s="16">
        <v>9.1</v>
      </c>
      <c r="K14" s="16">
        <v>930</v>
      </c>
    </row>
    <row r="15" spans="1:11" ht="12.75">
      <c r="A15" s="3">
        <v>10.2</v>
      </c>
      <c r="B15" s="4">
        <v>1084</v>
      </c>
      <c r="D15" s="3">
        <v>9.6</v>
      </c>
      <c r="E15" s="4">
        <v>1012</v>
      </c>
      <c r="G15" s="87">
        <v>9.2</v>
      </c>
      <c r="H15" s="16">
        <v>884</v>
      </c>
      <c r="J15" s="87">
        <v>9.2</v>
      </c>
      <c r="K15" s="16">
        <v>914</v>
      </c>
    </row>
    <row r="16" spans="1:11" ht="12.75">
      <c r="A16" s="3">
        <v>10.3</v>
      </c>
      <c r="B16" s="4">
        <v>1066</v>
      </c>
      <c r="D16" s="3">
        <v>9.7</v>
      </c>
      <c r="E16" s="4">
        <v>995</v>
      </c>
      <c r="G16" s="16">
        <v>9.3</v>
      </c>
      <c r="H16" s="16">
        <v>872</v>
      </c>
      <c r="J16" s="16">
        <v>9.3</v>
      </c>
      <c r="K16" s="16">
        <v>899</v>
      </c>
    </row>
    <row r="17" spans="1:11" ht="12.75">
      <c r="A17" s="3">
        <v>10.4</v>
      </c>
      <c r="B17" s="4">
        <v>1048</v>
      </c>
      <c r="D17" s="3">
        <v>9.8</v>
      </c>
      <c r="E17" s="4">
        <v>978</v>
      </c>
      <c r="G17" s="87">
        <v>9.4</v>
      </c>
      <c r="H17" s="16">
        <v>861</v>
      </c>
      <c r="J17" s="87">
        <v>9.4</v>
      </c>
      <c r="K17" s="16">
        <v>884</v>
      </c>
    </row>
    <row r="18" spans="1:11" ht="12.75">
      <c r="A18" s="3">
        <v>10.5</v>
      </c>
      <c r="B18" s="4">
        <v>1030</v>
      </c>
      <c r="D18" s="3">
        <v>9.9</v>
      </c>
      <c r="E18" s="4">
        <v>962</v>
      </c>
      <c r="G18" s="16">
        <v>9.49999999999999</v>
      </c>
      <c r="H18" s="16">
        <v>849</v>
      </c>
      <c r="J18" s="16">
        <v>9.49999999999999</v>
      </c>
      <c r="K18" s="16">
        <v>869</v>
      </c>
    </row>
    <row r="19" spans="1:11" ht="12.75">
      <c r="A19" s="3">
        <v>10.6</v>
      </c>
      <c r="B19" s="4">
        <v>1012</v>
      </c>
      <c r="D19" s="3">
        <v>10</v>
      </c>
      <c r="E19" s="4">
        <v>946</v>
      </c>
      <c r="G19" s="87">
        <v>9.59999999999999</v>
      </c>
      <c r="H19" s="16">
        <v>837</v>
      </c>
      <c r="J19" s="87">
        <v>9.59999999999999</v>
      </c>
      <c r="K19" s="16">
        <v>855</v>
      </c>
    </row>
    <row r="20" spans="1:11" ht="12.75">
      <c r="A20" s="3">
        <v>10.7</v>
      </c>
      <c r="B20" s="4">
        <v>995</v>
      </c>
      <c r="D20" s="3">
        <v>10.1</v>
      </c>
      <c r="E20" s="4">
        <v>930</v>
      </c>
      <c r="G20" s="16">
        <v>9.69999999999999</v>
      </c>
      <c r="H20" s="16">
        <v>825</v>
      </c>
      <c r="J20" s="16">
        <v>9.69999999999999</v>
      </c>
      <c r="K20" s="16">
        <v>840</v>
      </c>
    </row>
    <row r="21" spans="1:11" ht="12.75">
      <c r="A21" s="3">
        <v>10.8</v>
      </c>
      <c r="B21" s="4">
        <v>978</v>
      </c>
      <c r="D21" s="3">
        <v>10.2</v>
      </c>
      <c r="E21" s="4">
        <v>914</v>
      </c>
      <c r="G21" s="87">
        <v>9.79999999999999</v>
      </c>
      <c r="H21" s="16">
        <v>814</v>
      </c>
      <c r="J21" s="87">
        <v>9.79999999999999</v>
      </c>
      <c r="K21" s="16">
        <v>826</v>
      </c>
    </row>
    <row r="22" spans="1:11" ht="12.75">
      <c r="A22" s="3">
        <v>10.9</v>
      </c>
      <c r="B22" s="4">
        <v>962</v>
      </c>
      <c r="D22" s="3">
        <v>10.3</v>
      </c>
      <c r="E22" s="4">
        <v>899</v>
      </c>
      <c r="G22" s="16">
        <v>9.89999999999999</v>
      </c>
      <c r="H22" s="16">
        <v>802</v>
      </c>
      <c r="J22" s="16">
        <v>9.89999999999999</v>
      </c>
      <c r="K22" s="16">
        <v>813</v>
      </c>
    </row>
    <row r="23" spans="1:11" ht="12.75">
      <c r="A23" s="3">
        <v>11</v>
      </c>
      <c r="B23" s="4">
        <v>946</v>
      </c>
      <c r="D23" s="3">
        <v>10.4</v>
      </c>
      <c r="E23" s="4">
        <v>884</v>
      </c>
      <c r="G23" s="87">
        <v>9.99999999999999</v>
      </c>
      <c r="H23" s="16">
        <v>791</v>
      </c>
      <c r="J23" s="87">
        <v>9.99999999999999</v>
      </c>
      <c r="K23" s="16">
        <v>799</v>
      </c>
    </row>
    <row r="24" spans="1:11" ht="12.75">
      <c r="A24" s="3">
        <v>11.1</v>
      </c>
      <c r="B24" s="4">
        <v>930</v>
      </c>
      <c r="D24" s="3">
        <v>10.5</v>
      </c>
      <c r="E24" s="4">
        <v>869</v>
      </c>
      <c r="G24" s="16">
        <v>10.1</v>
      </c>
      <c r="H24" s="16">
        <v>780</v>
      </c>
      <c r="J24" s="16">
        <v>10.1</v>
      </c>
      <c r="K24" s="16">
        <v>786</v>
      </c>
    </row>
    <row r="25" spans="1:11" ht="12.75">
      <c r="A25" s="3">
        <v>11.2</v>
      </c>
      <c r="B25" s="4">
        <v>914</v>
      </c>
      <c r="D25" s="3">
        <v>10.6</v>
      </c>
      <c r="E25" s="4">
        <v>855</v>
      </c>
      <c r="G25" s="87">
        <v>10.2</v>
      </c>
      <c r="H25" s="16">
        <v>768</v>
      </c>
      <c r="J25" s="87">
        <v>10.2</v>
      </c>
      <c r="K25" s="16">
        <v>773</v>
      </c>
    </row>
    <row r="26" spans="1:11" ht="12.75">
      <c r="A26" s="3">
        <v>11.3</v>
      </c>
      <c r="B26" s="4">
        <v>899</v>
      </c>
      <c r="D26" s="3">
        <v>10.7</v>
      </c>
      <c r="E26" s="4">
        <v>840</v>
      </c>
      <c r="G26" s="16">
        <v>10.3</v>
      </c>
      <c r="H26" s="16">
        <v>757</v>
      </c>
      <c r="J26" s="16">
        <v>10.3</v>
      </c>
      <c r="K26" s="16">
        <v>760</v>
      </c>
    </row>
    <row r="27" spans="1:11" ht="12.75">
      <c r="A27" s="3">
        <v>11.4</v>
      </c>
      <c r="B27" s="4">
        <v>884</v>
      </c>
      <c r="D27" s="3">
        <v>10.8</v>
      </c>
      <c r="E27" s="4">
        <v>826</v>
      </c>
      <c r="G27" s="87">
        <v>10.4</v>
      </c>
      <c r="H27" s="16">
        <v>746</v>
      </c>
      <c r="J27" s="87">
        <v>10.4</v>
      </c>
      <c r="K27" s="16">
        <v>747</v>
      </c>
    </row>
    <row r="28" spans="1:11" ht="12.75">
      <c r="A28" s="3">
        <v>11.5</v>
      </c>
      <c r="B28" s="4">
        <v>869</v>
      </c>
      <c r="D28" s="3">
        <v>10.9</v>
      </c>
      <c r="E28" s="4">
        <v>813</v>
      </c>
      <c r="G28" s="16">
        <v>10.5</v>
      </c>
      <c r="H28" s="16">
        <v>735</v>
      </c>
      <c r="J28" s="16">
        <v>10.5</v>
      </c>
      <c r="K28" s="16">
        <v>734</v>
      </c>
    </row>
    <row r="29" spans="1:11" ht="12.75">
      <c r="A29" s="3">
        <v>11.6</v>
      </c>
      <c r="B29" s="4">
        <v>855</v>
      </c>
      <c r="D29" s="3">
        <v>11</v>
      </c>
      <c r="E29" s="4">
        <v>799</v>
      </c>
      <c r="G29" s="87">
        <v>10.6</v>
      </c>
      <c r="H29" s="16">
        <v>724</v>
      </c>
      <c r="J29" s="87">
        <v>10.6</v>
      </c>
      <c r="K29" s="16">
        <v>722</v>
      </c>
    </row>
    <row r="30" spans="1:11" ht="12.75">
      <c r="A30" s="3">
        <v>11.7</v>
      </c>
      <c r="B30" s="4">
        <v>840</v>
      </c>
      <c r="D30" s="3">
        <v>11.1</v>
      </c>
      <c r="E30" s="4">
        <v>786</v>
      </c>
      <c r="G30" s="16">
        <v>10.7</v>
      </c>
      <c r="H30" s="16">
        <v>713</v>
      </c>
      <c r="J30" s="16">
        <v>10.7</v>
      </c>
      <c r="K30" s="16">
        <v>710</v>
      </c>
    </row>
    <row r="31" spans="1:11" ht="12.75">
      <c r="A31" s="3">
        <v>11.8</v>
      </c>
      <c r="B31" s="4">
        <v>826</v>
      </c>
      <c r="D31" s="3">
        <v>11.2</v>
      </c>
      <c r="E31" s="4">
        <v>773</v>
      </c>
      <c r="G31" s="87">
        <v>10.8</v>
      </c>
      <c r="H31" s="16">
        <v>702</v>
      </c>
      <c r="J31" s="87">
        <v>10.8</v>
      </c>
      <c r="K31" s="16">
        <v>698</v>
      </c>
    </row>
    <row r="32" spans="1:11" ht="12.75">
      <c r="A32" s="3">
        <v>11.9</v>
      </c>
      <c r="B32" s="4">
        <v>813</v>
      </c>
      <c r="D32" s="3">
        <v>11.3</v>
      </c>
      <c r="E32" s="4">
        <v>760</v>
      </c>
      <c r="G32" s="16">
        <v>10.9</v>
      </c>
      <c r="H32" s="16">
        <v>692</v>
      </c>
      <c r="J32" s="16">
        <v>10.9</v>
      </c>
      <c r="K32" s="16">
        <v>686</v>
      </c>
    </row>
    <row r="33" spans="1:11" ht="12.75">
      <c r="A33" s="3">
        <v>12</v>
      </c>
      <c r="B33" s="4">
        <v>799</v>
      </c>
      <c r="D33" s="3">
        <v>11.4</v>
      </c>
      <c r="E33" s="4">
        <v>747</v>
      </c>
      <c r="G33" s="87">
        <v>11</v>
      </c>
      <c r="H33" s="16">
        <v>681</v>
      </c>
      <c r="J33" s="87">
        <v>11</v>
      </c>
      <c r="K33" s="16">
        <v>675</v>
      </c>
    </row>
    <row r="34" spans="1:11" ht="12.75">
      <c r="A34" s="3">
        <v>12.1</v>
      </c>
      <c r="B34" s="4">
        <v>786</v>
      </c>
      <c r="D34" s="3">
        <v>11.5</v>
      </c>
      <c r="E34" s="4">
        <v>734</v>
      </c>
      <c r="G34" s="16">
        <v>11.1</v>
      </c>
      <c r="H34" s="16">
        <v>670</v>
      </c>
      <c r="J34" s="16">
        <v>11.1</v>
      </c>
      <c r="K34" s="16">
        <v>663</v>
      </c>
    </row>
    <row r="35" spans="1:11" ht="12.75">
      <c r="A35" s="3">
        <v>12.2</v>
      </c>
      <c r="B35" s="4">
        <v>773</v>
      </c>
      <c r="D35" s="3">
        <v>11.6</v>
      </c>
      <c r="E35" s="4">
        <v>722</v>
      </c>
      <c r="G35" s="87">
        <v>11.2</v>
      </c>
      <c r="H35" s="16">
        <v>660</v>
      </c>
      <c r="J35" s="87">
        <v>11.2</v>
      </c>
      <c r="K35" s="16">
        <v>652</v>
      </c>
    </row>
    <row r="36" spans="1:11" ht="12.75">
      <c r="A36" s="3">
        <v>12.3</v>
      </c>
      <c r="B36" s="4">
        <v>760</v>
      </c>
      <c r="D36" s="3">
        <v>11.7</v>
      </c>
      <c r="E36" s="4">
        <v>710</v>
      </c>
      <c r="G36" s="16">
        <v>11.3</v>
      </c>
      <c r="H36" s="16">
        <v>649</v>
      </c>
      <c r="J36" s="16">
        <v>11.3</v>
      </c>
      <c r="K36" s="16">
        <v>641</v>
      </c>
    </row>
    <row r="37" spans="1:11" ht="12.75">
      <c r="A37" s="3">
        <v>12.4</v>
      </c>
      <c r="B37" s="4">
        <v>747</v>
      </c>
      <c r="D37" s="3">
        <v>11.8</v>
      </c>
      <c r="E37" s="4">
        <v>698</v>
      </c>
      <c r="G37" s="87">
        <v>11.4</v>
      </c>
      <c r="H37" s="16">
        <v>639</v>
      </c>
      <c r="J37" s="87">
        <v>11.4</v>
      </c>
      <c r="K37" s="16">
        <v>630</v>
      </c>
    </row>
    <row r="38" spans="1:11" ht="12.75">
      <c r="A38" s="3">
        <v>12.5</v>
      </c>
      <c r="B38" s="4">
        <v>734</v>
      </c>
      <c r="D38" s="3">
        <v>11.9</v>
      </c>
      <c r="E38" s="4">
        <v>686</v>
      </c>
      <c r="G38" s="16">
        <v>11.5</v>
      </c>
      <c r="H38" s="16">
        <v>629</v>
      </c>
      <c r="J38" s="16">
        <v>11.5</v>
      </c>
      <c r="K38" s="16">
        <v>620</v>
      </c>
    </row>
    <row r="39" spans="1:11" ht="12.75">
      <c r="A39" s="3">
        <v>12.6</v>
      </c>
      <c r="B39" s="4">
        <v>722</v>
      </c>
      <c r="D39" s="3">
        <v>12</v>
      </c>
      <c r="E39" s="4">
        <v>675</v>
      </c>
      <c r="G39" s="87">
        <v>11.6</v>
      </c>
      <c r="H39" s="16">
        <v>618</v>
      </c>
      <c r="J39" s="87">
        <v>11.6</v>
      </c>
      <c r="K39" s="16">
        <v>609</v>
      </c>
    </row>
    <row r="40" spans="1:11" ht="12.75">
      <c r="A40" s="3">
        <v>12.7</v>
      </c>
      <c r="B40" s="4">
        <v>710</v>
      </c>
      <c r="D40" s="3">
        <v>12.1</v>
      </c>
      <c r="E40" s="4">
        <v>663</v>
      </c>
      <c r="G40" s="16">
        <v>11.7</v>
      </c>
      <c r="H40" s="16">
        <v>608</v>
      </c>
      <c r="J40" s="16">
        <v>11.7</v>
      </c>
      <c r="K40" s="16">
        <v>599</v>
      </c>
    </row>
    <row r="41" spans="1:11" ht="12.75">
      <c r="A41" s="3">
        <v>12.8</v>
      </c>
      <c r="B41" s="4">
        <v>698</v>
      </c>
      <c r="D41" s="3">
        <v>12.2</v>
      </c>
      <c r="E41" s="4">
        <v>652</v>
      </c>
      <c r="G41" s="87">
        <v>11.8</v>
      </c>
      <c r="H41" s="16">
        <v>598</v>
      </c>
      <c r="J41" s="87">
        <v>11.8</v>
      </c>
      <c r="K41" s="16">
        <v>588</v>
      </c>
    </row>
    <row r="42" spans="1:11" ht="12.75">
      <c r="A42" s="3">
        <v>12.9</v>
      </c>
      <c r="B42" s="4">
        <v>686</v>
      </c>
      <c r="D42" s="3">
        <v>12.3</v>
      </c>
      <c r="E42" s="4">
        <v>641</v>
      </c>
      <c r="G42" s="16">
        <v>11.9</v>
      </c>
      <c r="H42" s="16">
        <v>588</v>
      </c>
      <c r="J42" s="16">
        <v>11.9</v>
      </c>
      <c r="K42" s="16">
        <v>578</v>
      </c>
    </row>
    <row r="43" spans="1:11" ht="12.75">
      <c r="A43" s="3">
        <v>13</v>
      </c>
      <c r="B43" s="4">
        <v>675</v>
      </c>
      <c r="D43" s="3">
        <v>12.4</v>
      </c>
      <c r="E43" s="4">
        <v>630</v>
      </c>
      <c r="G43" s="87">
        <v>12</v>
      </c>
      <c r="H43" s="16">
        <v>578</v>
      </c>
      <c r="J43" s="87">
        <v>12</v>
      </c>
      <c r="K43" s="16">
        <v>566</v>
      </c>
    </row>
    <row r="44" spans="1:11" ht="12.75">
      <c r="A44" s="3">
        <v>13.1</v>
      </c>
      <c r="B44" s="4">
        <v>663</v>
      </c>
      <c r="D44" s="3">
        <v>12.5</v>
      </c>
      <c r="E44" s="4">
        <v>620</v>
      </c>
      <c r="G44" s="16">
        <v>12.1</v>
      </c>
      <c r="H44" s="16">
        <v>569</v>
      </c>
      <c r="J44" s="16">
        <v>12.1</v>
      </c>
      <c r="K44" s="16">
        <v>558</v>
      </c>
    </row>
    <row r="45" spans="1:11" ht="12.75">
      <c r="A45" s="3">
        <v>13.2</v>
      </c>
      <c r="B45" s="4">
        <v>652</v>
      </c>
      <c r="D45" s="3">
        <v>12.6</v>
      </c>
      <c r="E45" s="4">
        <v>609</v>
      </c>
      <c r="G45" s="87">
        <v>12.2</v>
      </c>
      <c r="H45" s="16">
        <v>559</v>
      </c>
      <c r="J45" s="87">
        <v>12.2</v>
      </c>
      <c r="K45" s="16">
        <v>549</v>
      </c>
    </row>
    <row r="46" spans="1:11" ht="12.75">
      <c r="A46" s="3">
        <v>13.3</v>
      </c>
      <c r="B46" s="4">
        <v>641</v>
      </c>
      <c r="D46" s="3">
        <v>12.7</v>
      </c>
      <c r="E46" s="4">
        <v>599</v>
      </c>
      <c r="G46" s="16">
        <v>12.3</v>
      </c>
      <c r="H46" s="16">
        <v>549</v>
      </c>
      <c r="J46" s="16">
        <v>12.3</v>
      </c>
      <c r="K46" s="16">
        <v>539</v>
      </c>
    </row>
    <row r="47" spans="1:11" ht="12.75">
      <c r="A47" s="3">
        <v>13.4</v>
      </c>
      <c r="B47" s="4">
        <v>630</v>
      </c>
      <c r="D47" s="3">
        <v>12.8</v>
      </c>
      <c r="E47" s="4">
        <v>588</v>
      </c>
      <c r="G47" s="87">
        <v>12.4</v>
      </c>
      <c r="H47" s="16">
        <v>539</v>
      </c>
      <c r="J47" s="87">
        <v>12.4</v>
      </c>
      <c r="K47" s="16">
        <v>530</v>
      </c>
    </row>
    <row r="48" spans="1:11" ht="12.75">
      <c r="A48" s="3">
        <v>13.5</v>
      </c>
      <c r="B48" s="4">
        <v>620</v>
      </c>
      <c r="D48" s="3">
        <v>12.9</v>
      </c>
      <c r="E48" s="4">
        <v>578</v>
      </c>
      <c r="G48" s="16">
        <v>12.5</v>
      </c>
      <c r="H48" s="16">
        <v>530</v>
      </c>
      <c r="J48" s="16">
        <v>12.5</v>
      </c>
      <c r="K48" s="16">
        <v>521</v>
      </c>
    </row>
    <row r="49" spans="1:11" ht="12.75">
      <c r="A49" s="3">
        <v>13.6</v>
      </c>
      <c r="B49" s="4">
        <v>609</v>
      </c>
      <c r="D49" s="3">
        <v>13</v>
      </c>
      <c r="E49" s="4">
        <v>568</v>
      </c>
      <c r="G49" s="87">
        <v>12.6</v>
      </c>
      <c r="H49" s="16">
        <v>521</v>
      </c>
      <c r="J49" s="87">
        <v>12.6</v>
      </c>
      <c r="K49" s="16">
        <v>511</v>
      </c>
    </row>
    <row r="50" spans="1:11" ht="12.75">
      <c r="A50" s="3">
        <v>13.7</v>
      </c>
      <c r="B50" s="4">
        <v>599</v>
      </c>
      <c r="D50" s="3">
        <v>13.1</v>
      </c>
      <c r="E50" s="4">
        <v>558</v>
      </c>
      <c r="G50" s="16">
        <v>12.7</v>
      </c>
      <c r="H50" s="16">
        <v>511</v>
      </c>
      <c r="J50" s="16">
        <v>12.7</v>
      </c>
      <c r="K50" s="16">
        <v>502</v>
      </c>
    </row>
    <row r="51" spans="1:11" ht="12.75">
      <c r="A51" s="3">
        <v>13.8</v>
      </c>
      <c r="B51" s="4">
        <v>588</v>
      </c>
      <c r="D51" s="3">
        <v>13.2</v>
      </c>
      <c r="E51" s="4">
        <v>549</v>
      </c>
      <c r="G51" s="87">
        <v>12.8</v>
      </c>
      <c r="H51" s="16">
        <v>502</v>
      </c>
      <c r="J51" s="87">
        <v>12.8</v>
      </c>
      <c r="K51" s="16">
        <v>497</v>
      </c>
    </row>
    <row r="52" spans="1:11" ht="12.75">
      <c r="A52" s="3">
        <v>13.9</v>
      </c>
      <c r="B52" s="4">
        <v>578</v>
      </c>
      <c r="D52" s="3">
        <v>13.3</v>
      </c>
      <c r="E52" s="4">
        <v>539</v>
      </c>
      <c r="G52" s="16">
        <v>12.9</v>
      </c>
      <c r="H52" s="16">
        <v>493</v>
      </c>
      <c r="J52" s="16">
        <v>12.9</v>
      </c>
      <c r="K52" s="16">
        <v>489</v>
      </c>
    </row>
    <row r="53" spans="1:11" ht="12.75">
      <c r="A53" s="3">
        <v>14</v>
      </c>
      <c r="B53" s="4">
        <v>568</v>
      </c>
      <c r="D53" s="3">
        <v>13.4</v>
      </c>
      <c r="E53" s="4">
        <v>530</v>
      </c>
      <c r="G53" s="87">
        <v>13</v>
      </c>
      <c r="H53" s="16">
        <v>483</v>
      </c>
      <c r="J53" s="87">
        <v>13</v>
      </c>
      <c r="K53" s="16">
        <v>480</v>
      </c>
    </row>
    <row r="54" spans="1:11" ht="12.75">
      <c r="A54" s="3">
        <v>14.1</v>
      </c>
      <c r="B54" s="4">
        <v>558</v>
      </c>
      <c r="D54" s="3">
        <v>13.5</v>
      </c>
      <c r="E54" s="4">
        <v>521</v>
      </c>
      <c r="G54" s="16">
        <v>13.1</v>
      </c>
      <c r="H54" s="16">
        <v>474</v>
      </c>
      <c r="J54" s="16">
        <v>13.1</v>
      </c>
      <c r="K54" s="16">
        <v>471</v>
      </c>
    </row>
    <row r="55" spans="1:11" ht="12.75">
      <c r="A55" s="3">
        <v>14.2</v>
      </c>
      <c r="B55" s="4">
        <v>549</v>
      </c>
      <c r="D55" s="3">
        <v>13.6</v>
      </c>
      <c r="E55" s="4">
        <v>511</v>
      </c>
      <c r="G55" s="87">
        <v>13.2</v>
      </c>
      <c r="H55" s="16">
        <v>465</v>
      </c>
      <c r="J55" s="87">
        <v>13.2</v>
      </c>
      <c r="K55" s="16">
        <v>463</v>
      </c>
    </row>
    <row r="56" spans="1:11" ht="12.75">
      <c r="A56" s="3">
        <v>14.3</v>
      </c>
      <c r="B56" s="4">
        <v>539</v>
      </c>
      <c r="D56" s="3">
        <v>13.7</v>
      </c>
      <c r="E56" s="4">
        <v>502</v>
      </c>
      <c r="G56" s="16">
        <v>13.3</v>
      </c>
      <c r="H56" s="16">
        <v>457</v>
      </c>
      <c r="J56" s="16">
        <v>13.3</v>
      </c>
      <c r="K56" s="16">
        <v>454</v>
      </c>
    </row>
    <row r="57" spans="1:11" ht="12.75">
      <c r="A57" s="3">
        <v>14.4</v>
      </c>
      <c r="B57" s="4">
        <v>530</v>
      </c>
      <c r="D57" s="3">
        <v>13.8</v>
      </c>
      <c r="E57" s="4">
        <v>497</v>
      </c>
      <c r="G57" s="87">
        <v>13.4</v>
      </c>
      <c r="H57" s="16">
        <v>448</v>
      </c>
      <c r="J57" s="87">
        <v>13.4</v>
      </c>
      <c r="K57" s="16">
        <v>446</v>
      </c>
    </row>
    <row r="58" spans="1:11" ht="12.75">
      <c r="A58" s="3">
        <v>14.5</v>
      </c>
      <c r="B58" s="4">
        <v>521</v>
      </c>
      <c r="D58" s="3">
        <v>13.9</v>
      </c>
      <c r="E58" s="4">
        <v>489</v>
      </c>
      <c r="G58" s="16">
        <v>13.5</v>
      </c>
      <c r="H58" s="16">
        <v>439</v>
      </c>
      <c r="J58" s="16">
        <v>13.5</v>
      </c>
      <c r="K58" s="16">
        <v>438</v>
      </c>
    </row>
    <row r="59" spans="1:11" ht="12.75">
      <c r="A59" s="3">
        <v>14.6</v>
      </c>
      <c r="B59" s="4">
        <v>511</v>
      </c>
      <c r="D59" s="3">
        <v>14</v>
      </c>
      <c r="E59" s="4">
        <v>480</v>
      </c>
      <c r="G59" s="87">
        <v>13.6</v>
      </c>
      <c r="H59" s="16">
        <v>430</v>
      </c>
      <c r="J59" s="87">
        <v>13.6</v>
      </c>
      <c r="K59" s="16">
        <v>430</v>
      </c>
    </row>
    <row r="60" spans="1:11" ht="12.75">
      <c r="A60" s="3">
        <v>14.7</v>
      </c>
      <c r="B60" s="4">
        <v>502</v>
      </c>
      <c r="D60" s="3">
        <v>14.1</v>
      </c>
      <c r="E60" s="4">
        <v>471</v>
      </c>
      <c r="G60" s="16">
        <v>13.7</v>
      </c>
      <c r="H60" s="16">
        <v>422</v>
      </c>
      <c r="J60" s="16">
        <v>13.7</v>
      </c>
      <c r="K60" s="16">
        <v>422</v>
      </c>
    </row>
    <row r="61" spans="1:11" ht="12.75">
      <c r="A61" s="3">
        <v>14.8</v>
      </c>
      <c r="B61" s="4">
        <v>497</v>
      </c>
      <c r="D61" s="3">
        <v>14.2</v>
      </c>
      <c r="E61" s="4">
        <v>463</v>
      </c>
      <c r="G61" s="87">
        <v>13.8</v>
      </c>
      <c r="H61" s="16">
        <v>423</v>
      </c>
      <c r="J61" s="87">
        <v>13.8</v>
      </c>
      <c r="K61" s="16">
        <v>414</v>
      </c>
    </row>
    <row r="62" spans="1:11" ht="12.75">
      <c r="A62" s="3">
        <v>14.9</v>
      </c>
      <c r="B62" s="4">
        <v>489</v>
      </c>
      <c r="D62" s="3">
        <v>14.3</v>
      </c>
      <c r="E62" s="4">
        <v>454</v>
      </c>
      <c r="G62" s="16">
        <v>13.9</v>
      </c>
      <c r="H62" s="16">
        <v>405</v>
      </c>
      <c r="J62" s="16">
        <v>13.9</v>
      </c>
      <c r="K62" s="16">
        <v>406</v>
      </c>
    </row>
    <row r="63" spans="1:11" ht="12.75">
      <c r="A63" s="3">
        <v>15</v>
      </c>
      <c r="B63" s="4">
        <v>480</v>
      </c>
      <c r="D63" s="3">
        <v>14.4</v>
      </c>
      <c r="E63" s="4">
        <v>446</v>
      </c>
      <c r="G63" s="87">
        <v>14</v>
      </c>
      <c r="H63" s="16">
        <v>396</v>
      </c>
      <c r="J63" s="87">
        <v>14</v>
      </c>
      <c r="K63" s="16">
        <v>399</v>
      </c>
    </row>
    <row r="64" spans="1:11" ht="12.75">
      <c r="A64" s="3">
        <v>15.1</v>
      </c>
      <c r="B64" s="4">
        <v>471</v>
      </c>
      <c r="D64" s="3">
        <v>14.5</v>
      </c>
      <c r="E64" s="4">
        <v>438</v>
      </c>
      <c r="G64" s="16">
        <v>14.1</v>
      </c>
      <c r="H64" s="16">
        <v>388</v>
      </c>
      <c r="J64" s="16">
        <v>14.1</v>
      </c>
      <c r="K64" s="16">
        <v>391</v>
      </c>
    </row>
    <row r="65" spans="1:11" ht="12.75">
      <c r="A65" s="3">
        <v>15.2</v>
      </c>
      <c r="B65" s="4">
        <v>463</v>
      </c>
      <c r="D65" s="3">
        <v>14.6</v>
      </c>
      <c r="E65" s="4">
        <v>430</v>
      </c>
      <c r="G65" s="87">
        <v>14.2</v>
      </c>
      <c r="H65" s="16">
        <v>380</v>
      </c>
      <c r="J65" s="87">
        <v>14.2</v>
      </c>
      <c r="K65" s="16">
        <v>384</v>
      </c>
    </row>
    <row r="66" spans="1:11" ht="12.75">
      <c r="A66" s="3">
        <v>15.3</v>
      </c>
      <c r="B66" s="4">
        <v>454</v>
      </c>
      <c r="D66" s="3">
        <v>14.7</v>
      </c>
      <c r="E66" s="4">
        <v>422</v>
      </c>
      <c r="G66" s="16">
        <v>14.3</v>
      </c>
      <c r="H66" s="16">
        <v>372</v>
      </c>
      <c r="J66" s="16">
        <v>14.3</v>
      </c>
      <c r="K66" s="16">
        <v>376</v>
      </c>
    </row>
    <row r="67" spans="1:11" ht="12.75">
      <c r="A67" s="3">
        <v>15.4</v>
      </c>
      <c r="B67" s="4">
        <v>446</v>
      </c>
      <c r="D67" s="3">
        <v>14.8</v>
      </c>
      <c r="E67" s="4">
        <v>414</v>
      </c>
      <c r="G67" s="87">
        <v>14.4</v>
      </c>
      <c r="H67" s="16">
        <v>364</v>
      </c>
      <c r="J67" s="87">
        <v>14.4</v>
      </c>
      <c r="K67" s="16">
        <v>369</v>
      </c>
    </row>
    <row r="68" spans="1:11" ht="12.75">
      <c r="A68" s="3">
        <v>15.5</v>
      </c>
      <c r="B68" s="4">
        <v>438</v>
      </c>
      <c r="D68" s="3">
        <v>14.9</v>
      </c>
      <c r="E68" s="4">
        <v>406</v>
      </c>
      <c r="G68" s="16">
        <v>14.5</v>
      </c>
      <c r="H68" s="16">
        <v>356</v>
      </c>
      <c r="J68" s="16">
        <v>14.5</v>
      </c>
      <c r="K68" s="16">
        <v>362</v>
      </c>
    </row>
    <row r="69" spans="1:11" ht="12.75">
      <c r="A69" s="3">
        <v>15.6</v>
      </c>
      <c r="B69" s="4">
        <v>430</v>
      </c>
      <c r="D69" s="3">
        <v>15</v>
      </c>
      <c r="E69" s="4">
        <v>399</v>
      </c>
      <c r="G69" s="87">
        <v>14.6</v>
      </c>
      <c r="H69" s="16">
        <v>348</v>
      </c>
      <c r="J69" s="87">
        <v>14.6</v>
      </c>
      <c r="K69" s="16">
        <v>355</v>
      </c>
    </row>
    <row r="70" spans="1:11" ht="12.75">
      <c r="A70" s="3">
        <v>15.7</v>
      </c>
      <c r="B70" s="4">
        <v>422</v>
      </c>
      <c r="D70" s="3">
        <v>15.1</v>
      </c>
      <c r="E70" s="4">
        <v>391</v>
      </c>
      <c r="G70" s="16">
        <v>14.7</v>
      </c>
      <c r="H70" s="16">
        <v>340</v>
      </c>
      <c r="J70" s="16">
        <v>14.7</v>
      </c>
      <c r="K70" s="16">
        <v>348</v>
      </c>
    </row>
    <row r="71" spans="1:11" ht="12.75">
      <c r="A71" s="3">
        <v>15.8</v>
      </c>
      <c r="B71" s="4">
        <v>414</v>
      </c>
      <c r="D71" s="3">
        <v>15.2</v>
      </c>
      <c r="E71" s="4">
        <v>384</v>
      </c>
      <c r="G71" s="87">
        <v>14.8</v>
      </c>
      <c r="H71" s="16">
        <v>332</v>
      </c>
      <c r="J71" s="87">
        <v>14.8</v>
      </c>
      <c r="K71" s="16">
        <v>341</v>
      </c>
    </row>
    <row r="72" spans="1:11" ht="12.75">
      <c r="A72" s="3">
        <v>15.9</v>
      </c>
      <c r="B72" s="4">
        <v>406</v>
      </c>
      <c r="D72" s="3">
        <v>15.3</v>
      </c>
      <c r="E72" s="4">
        <v>376</v>
      </c>
      <c r="G72" s="16">
        <v>14.9</v>
      </c>
      <c r="H72" s="16">
        <v>325</v>
      </c>
      <c r="J72" s="16">
        <v>14.9</v>
      </c>
      <c r="K72" s="16">
        <v>334</v>
      </c>
    </row>
    <row r="73" spans="1:11" ht="12.75">
      <c r="A73" s="3">
        <v>16</v>
      </c>
      <c r="B73" s="4">
        <v>399</v>
      </c>
      <c r="D73" s="3">
        <v>15.4</v>
      </c>
      <c r="E73" s="4">
        <v>369</v>
      </c>
      <c r="G73" s="87">
        <v>15</v>
      </c>
      <c r="H73" s="16">
        <v>317</v>
      </c>
      <c r="J73" s="87">
        <v>15</v>
      </c>
      <c r="K73" s="16">
        <v>327</v>
      </c>
    </row>
    <row r="74" spans="1:11" ht="12.75">
      <c r="A74" s="3">
        <v>16.1</v>
      </c>
      <c r="B74" s="4">
        <v>391</v>
      </c>
      <c r="D74" s="3">
        <v>15.5</v>
      </c>
      <c r="E74" s="4">
        <v>362</v>
      </c>
      <c r="G74" s="16">
        <v>15.1</v>
      </c>
      <c r="H74" s="16">
        <v>310</v>
      </c>
      <c r="J74" s="16">
        <v>15.1</v>
      </c>
      <c r="K74" s="16">
        <v>320</v>
      </c>
    </row>
    <row r="75" spans="1:11" ht="12.75">
      <c r="A75" s="3">
        <v>16.2</v>
      </c>
      <c r="B75" s="4">
        <v>384</v>
      </c>
      <c r="D75" s="3">
        <v>15.6</v>
      </c>
      <c r="E75" s="4">
        <v>355</v>
      </c>
      <c r="G75" s="87">
        <v>15.2</v>
      </c>
      <c r="H75" s="16">
        <v>302</v>
      </c>
      <c r="J75" s="87">
        <v>15.2</v>
      </c>
      <c r="K75" s="16">
        <v>314</v>
      </c>
    </row>
    <row r="76" spans="1:11" ht="12.75">
      <c r="A76" s="3">
        <v>16.3</v>
      </c>
      <c r="B76" s="4">
        <v>376</v>
      </c>
      <c r="D76" s="3">
        <v>15.7</v>
      </c>
      <c r="E76" s="4">
        <v>348</v>
      </c>
      <c r="G76" s="16">
        <v>15.3</v>
      </c>
      <c r="H76" s="16">
        <v>295</v>
      </c>
      <c r="J76" s="16">
        <v>15.3</v>
      </c>
      <c r="K76" s="16">
        <v>307</v>
      </c>
    </row>
    <row r="77" spans="1:11" ht="12.75">
      <c r="A77" s="3">
        <v>16.4</v>
      </c>
      <c r="B77" s="4">
        <v>369</v>
      </c>
      <c r="D77" s="3">
        <v>15.8</v>
      </c>
      <c r="E77" s="4">
        <v>341</v>
      </c>
      <c r="G77" s="87">
        <v>15.4</v>
      </c>
      <c r="H77" s="16">
        <v>288</v>
      </c>
      <c r="J77" s="87">
        <v>15.4</v>
      </c>
      <c r="K77" s="16">
        <v>301</v>
      </c>
    </row>
    <row r="78" spans="1:11" ht="12.75">
      <c r="A78" s="3">
        <v>16.5</v>
      </c>
      <c r="B78" s="4">
        <v>362</v>
      </c>
      <c r="D78" s="3">
        <v>15.9</v>
      </c>
      <c r="E78" s="4">
        <v>334</v>
      </c>
      <c r="G78" s="16">
        <v>15.5</v>
      </c>
      <c r="H78" s="16">
        <v>281</v>
      </c>
      <c r="J78" s="16">
        <v>15.5</v>
      </c>
      <c r="K78" s="16">
        <v>294</v>
      </c>
    </row>
    <row r="79" spans="1:11" ht="12.75">
      <c r="A79" s="3">
        <v>16.6</v>
      </c>
      <c r="B79" s="4">
        <v>355</v>
      </c>
      <c r="D79" s="3">
        <v>16</v>
      </c>
      <c r="E79" s="4">
        <v>327</v>
      </c>
      <c r="G79" s="87">
        <v>15.6</v>
      </c>
      <c r="H79" s="16">
        <v>274</v>
      </c>
      <c r="J79" s="87">
        <v>15.6</v>
      </c>
      <c r="K79" s="16">
        <v>288</v>
      </c>
    </row>
    <row r="80" spans="1:11" ht="12.75">
      <c r="A80" s="3">
        <v>16.7</v>
      </c>
      <c r="B80" s="4">
        <v>348</v>
      </c>
      <c r="D80" s="3">
        <v>16.1</v>
      </c>
      <c r="E80" s="4">
        <v>320</v>
      </c>
      <c r="G80" s="16">
        <v>15.7</v>
      </c>
      <c r="H80" s="16">
        <v>367</v>
      </c>
      <c r="J80" s="16">
        <v>15.7</v>
      </c>
      <c r="K80" s="16">
        <v>282</v>
      </c>
    </row>
    <row r="81" spans="1:11" ht="12.75">
      <c r="A81" s="3">
        <v>16.8</v>
      </c>
      <c r="B81" s="4">
        <v>341</v>
      </c>
      <c r="D81" s="3">
        <v>16.2</v>
      </c>
      <c r="E81" s="4">
        <v>314</v>
      </c>
      <c r="G81" s="87">
        <v>15.8</v>
      </c>
      <c r="H81" s="16">
        <v>260</v>
      </c>
      <c r="J81" s="87">
        <v>15.8</v>
      </c>
      <c r="K81" s="16">
        <v>275</v>
      </c>
    </row>
    <row r="82" spans="1:11" ht="12.75">
      <c r="A82" s="3">
        <v>16.9</v>
      </c>
      <c r="B82" s="4">
        <v>334</v>
      </c>
      <c r="D82" s="3">
        <v>16.3</v>
      </c>
      <c r="E82" s="4">
        <v>307</v>
      </c>
      <c r="G82" s="16">
        <v>15.9</v>
      </c>
      <c r="H82" s="16">
        <v>253</v>
      </c>
      <c r="J82" s="16">
        <v>15.9</v>
      </c>
      <c r="K82" s="16">
        <v>269</v>
      </c>
    </row>
    <row r="83" spans="1:11" ht="12.75">
      <c r="A83" s="3">
        <v>17</v>
      </c>
      <c r="B83" s="4">
        <v>327</v>
      </c>
      <c r="D83" s="3">
        <v>16.4</v>
      </c>
      <c r="E83" s="4">
        <v>301</v>
      </c>
      <c r="G83" s="87">
        <v>16</v>
      </c>
      <c r="H83" s="16">
        <v>246</v>
      </c>
      <c r="J83" s="87">
        <v>16</v>
      </c>
      <c r="K83" s="16">
        <v>263</v>
      </c>
    </row>
    <row r="84" spans="1:11" ht="12.75">
      <c r="A84" s="3">
        <v>17.1</v>
      </c>
      <c r="B84" s="4">
        <v>320</v>
      </c>
      <c r="D84" s="3">
        <v>16.5</v>
      </c>
      <c r="E84" s="4">
        <v>294</v>
      </c>
      <c r="G84" s="16">
        <v>16.1</v>
      </c>
      <c r="H84" s="16">
        <v>240</v>
      </c>
      <c r="J84" s="16">
        <v>16.1</v>
      </c>
      <c r="K84" s="16">
        <v>257</v>
      </c>
    </row>
    <row r="85" spans="1:11" ht="12.75">
      <c r="A85" s="3">
        <v>17.2</v>
      </c>
      <c r="B85" s="4">
        <v>314</v>
      </c>
      <c r="D85" s="3">
        <v>16.6</v>
      </c>
      <c r="E85" s="4">
        <v>288</v>
      </c>
      <c r="G85" s="87">
        <v>16.2</v>
      </c>
      <c r="H85" s="16">
        <v>233</v>
      </c>
      <c r="J85" s="87">
        <v>16.2</v>
      </c>
      <c r="K85" s="16">
        <v>251</v>
      </c>
    </row>
    <row r="86" spans="1:11" ht="12.75">
      <c r="A86" s="3">
        <v>17.3</v>
      </c>
      <c r="B86" s="4">
        <v>307</v>
      </c>
      <c r="D86" s="3">
        <v>16.7</v>
      </c>
      <c r="E86" s="4">
        <v>282</v>
      </c>
      <c r="G86" s="16">
        <v>16.3</v>
      </c>
      <c r="H86" s="16">
        <v>226</v>
      </c>
      <c r="J86" s="16">
        <v>16.3</v>
      </c>
      <c r="K86" s="16">
        <v>246</v>
      </c>
    </row>
    <row r="87" spans="1:11" ht="12.75">
      <c r="A87" s="3">
        <v>17.4</v>
      </c>
      <c r="B87" s="4">
        <v>301</v>
      </c>
      <c r="D87" s="3">
        <v>16.8</v>
      </c>
      <c r="E87" s="4">
        <v>275</v>
      </c>
      <c r="G87" s="87">
        <v>16.4</v>
      </c>
      <c r="H87" s="16">
        <v>220</v>
      </c>
      <c r="J87" s="87">
        <v>16.4</v>
      </c>
      <c r="K87" s="16">
        <v>240</v>
      </c>
    </row>
    <row r="88" spans="1:11" ht="12.75">
      <c r="A88" s="3">
        <v>17.5</v>
      </c>
      <c r="B88" s="4">
        <v>294</v>
      </c>
      <c r="D88" s="3">
        <v>16.9</v>
      </c>
      <c r="E88" s="4">
        <v>269</v>
      </c>
      <c r="G88" s="16">
        <v>16.5</v>
      </c>
      <c r="H88" s="16">
        <v>214</v>
      </c>
      <c r="J88" s="16">
        <v>16.5</v>
      </c>
      <c r="K88" s="16">
        <v>234</v>
      </c>
    </row>
    <row r="89" spans="1:11" ht="12.75">
      <c r="A89" s="3">
        <v>17.6</v>
      </c>
      <c r="B89" s="4">
        <v>288</v>
      </c>
      <c r="D89" s="3">
        <v>17</v>
      </c>
      <c r="E89" s="4">
        <v>263</v>
      </c>
      <c r="G89" s="87">
        <v>16.6</v>
      </c>
      <c r="H89" s="16">
        <v>208</v>
      </c>
      <c r="J89" s="87">
        <v>16.6</v>
      </c>
      <c r="K89" s="16">
        <v>228</v>
      </c>
    </row>
    <row r="90" spans="1:11" ht="12.75">
      <c r="A90" s="3">
        <v>17.7</v>
      </c>
      <c r="B90" s="4">
        <v>282</v>
      </c>
      <c r="D90" s="3">
        <v>17.1</v>
      </c>
      <c r="E90" s="4">
        <v>257</v>
      </c>
      <c r="G90" s="16">
        <v>16.7</v>
      </c>
      <c r="H90" s="16">
        <v>201</v>
      </c>
      <c r="J90" s="16">
        <v>16.7</v>
      </c>
      <c r="K90" s="16">
        <v>223</v>
      </c>
    </row>
    <row r="91" spans="1:11" ht="12.75">
      <c r="A91" s="3">
        <v>17.8</v>
      </c>
      <c r="B91" s="4">
        <v>275</v>
      </c>
      <c r="D91" s="3">
        <v>17.2</v>
      </c>
      <c r="E91" s="4">
        <v>251</v>
      </c>
      <c r="G91" s="87">
        <v>16.8</v>
      </c>
      <c r="H91" s="16">
        <v>195</v>
      </c>
      <c r="J91" s="87">
        <v>16.8</v>
      </c>
      <c r="K91" s="16">
        <v>217</v>
      </c>
    </row>
    <row r="92" spans="1:11" ht="12.75">
      <c r="A92" s="3">
        <v>17.9</v>
      </c>
      <c r="B92" s="4">
        <v>269</v>
      </c>
      <c r="D92" s="3">
        <v>17.3</v>
      </c>
      <c r="E92" s="4">
        <v>246</v>
      </c>
      <c r="G92" s="16">
        <v>16.9</v>
      </c>
      <c r="H92" s="16">
        <v>189</v>
      </c>
      <c r="J92" s="16">
        <v>16.9</v>
      </c>
      <c r="K92" s="16">
        <v>212</v>
      </c>
    </row>
    <row r="93" spans="1:11" ht="12.75">
      <c r="A93" s="3">
        <v>18</v>
      </c>
      <c r="B93" s="4">
        <v>263</v>
      </c>
      <c r="D93" s="3">
        <v>17.4</v>
      </c>
      <c r="E93" s="4">
        <v>240</v>
      </c>
      <c r="G93" s="87">
        <v>17</v>
      </c>
      <c r="H93" s="16">
        <v>183</v>
      </c>
      <c r="J93" s="87">
        <v>17</v>
      </c>
      <c r="K93" s="16">
        <v>206</v>
      </c>
    </row>
    <row r="94" spans="1:11" ht="12.75">
      <c r="A94" s="3">
        <v>18.1</v>
      </c>
      <c r="B94" s="4">
        <v>257</v>
      </c>
      <c r="D94" s="3">
        <v>17.5</v>
      </c>
      <c r="E94" s="4">
        <v>234</v>
      </c>
      <c r="G94" s="16">
        <v>17.1</v>
      </c>
      <c r="H94" s="16">
        <v>178</v>
      </c>
      <c r="J94" s="16">
        <v>17.1</v>
      </c>
      <c r="K94" s="16">
        <v>201</v>
      </c>
    </row>
    <row r="95" spans="1:11" ht="12.75">
      <c r="A95" s="3">
        <v>18.2</v>
      </c>
      <c r="B95" s="4">
        <v>251</v>
      </c>
      <c r="D95" s="3">
        <v>17.6</v>
      </c>
      <c r="E95" s="4">
        <v>228</v>
      </c>
      <c r="G95" s="87">
        <v>17.2</v>
      </c>
      <c r="H95" s="16">
        <v>172</v>
      </c>
      <c r="J95" s="87">
        <v>17.2</v>
      </c>
      <c r="K95" s="16">
        <v>196</v>
      </c>
    </row>
    <row r="96" spans="1:11" ht="12.75">
      <c r="A96" s="3">
        <v>18.3</v>
      </c>
      <c r="B96" s="4">
        <v>246</v>
      </c>
      <c r="D96" s="3">
        <v>17.7</v>
      </c>
      <c r="E96" s="4">
        <v>223</v>
      </c>
      <c r="G96" s="16">
        <v>17.3</v>
      </c>
      <c r="H96" s="16">
        <v>166</v>
      </c>
      <c r="J96" s="16">
        <v>17.3</v>
      </c>
      <c r="K96" s="16">
        <v>190</v>
      </c>
    </row>
    <row r="97" spans="1:11" ht="12.75">
      <c r="A97" s="3">
        <v>18.4</v>
      </c>
      <c r="B97" s="4">
        <v>240</v>
      </c>
      <c r="D97" s="3">
        <v>17.8</v>
      </c>
      <c r="E97" s="4">
        <v>217</v>
      </c>
      <c r="G97" s="87">
        <v>17.4</v>
      </c>
      <c r="H97" s="16">
        <v>161</v>
      </c>
      <c r="J97" s="87">
        <v>17.4</v>
      </c>
      <c r="K97" s="16">
        <v>185</v>
      </c>
    </row>
    <row r="98" spans="1:11" ht="12.75">
      <c r="A98" s="3">
        <v>18.5</v>
      </c>
      <c r="B98" s="4">
        <v>234</v>
      </c>
      <c r="D98" s="3">
        <v>17.9</v>
      </c>
      <c r="E98" s="4">
        <v>212</v>
      </c>
      <c r="G98" s="16">
        <v>17.5</v>
      </c>
      <c r="H98" s="16">
        <v>155</v>
      </c>
      <c r="J98" s="16">
        <v>17.5</v>
      </c>
      <c r="K98" s="16">
        <v>180</v>
      </c>
    </row>
    <row r="99" spans="1:11" ht="12.75">
      <c r="A99" s="3">
        <v>18.6</v>
      </c>
      <c r="B99" s="4">
        <v>228</v>
      </c>
      <c r="D99" s="3">
        <v>18</v>
      </c>
      <c r="E99" s="4">
        <v>206</v>
      </c>
      <c r="G99" s="87">
        <v>17.6</v>
      </c>
      <c r="H99" s="16">
        <v>150</v>
      </c>
      <c r="J99" s="87">
        <v>17.6</v>
      </c>
      <c r="K99" s="16">
        <v>175</v>
      </c>
    </row>
    <row r="100" spans="1:11" ht="12.75">
      <c r="A100" s="3">
        <v>18.7</v>
      </c>
      <c r="B100" s="4">
        <v>223</v>
      </c>
      <c r="D100" s="3">
        <v>18.1</v>
      </c>
      <c r="E100" s="4">
        <v>201</v>
      </c>
      <c r="G100" s="16">
        <v>17.7</v>
      </c>
      <c r="H100" s="16">
        <v>145</v>
      </c>
      <c r="J100" s="16">
        <v>17.7</v>
      </c>
      <c r="K100" s="16">
        <v>170</v>
      </c>
    </row>
    <row r="101" spans="1:11" ht="12.75">
      <c r="A101" s="3">
        <v>18.8</v>
      </c>
      <c r="B101" s="4">
        <v>217</v>
      </c>
      <c r="D101" s="3">
        <v>18.2</v>
      </c>
      <c r="E101" s="4">
        <v>196</v>
      </c>
      <c r="G101" s="87">
        <v>17.8</v>
      </c>
      <c r="H101" s="16">
        <v>139</v>
      </c>
      <c r="J101" s="87">
        <v>17.8</v>
      </c>
      <c r="K101" s="16">
        <v>165</v>
      </c>
    </row>
    <row r="102" spans="1:11" ht="12.75">
      <c r="A102" s="3">
        <v>18.9</v>
      </c>
      <c r="B102" s="4">
        <v>212</v>
      </c>
      <c r="D102" s="3">
        <v>18.3</v>
      </c>
      <c r="E102" s="4">
        <v>190</v>
      </c>
      <c r="G102" s="16">
        <v>17.9</v>
      </c>
      <c r="H102" s="16">
        <v>134</v>
      </c>
      <c r="J102" s="16">
        <v>17.9</v>
      </c>
      <c r="K102" s="16">
        <v>160</v>
      </c>
    </row>
    <row r="103" spans="1:11" ht="12.75">
      <c r="A103" s="3">
        <v>19</v>
      </c>
      <c r="B103" s="4">
        <v>206</v>
      </c>
      <c r="D103" s="3">
        <v>18.4</v>
      </c>
      <c r="E103" s="4">
        <v>185</v>
      </c>
      <c r="G103" s="87">
        <v>18</v>
      </c>
      <c r="H103" s="16">
        <v>129</v>
      </c>
      <c r="J103" s="87">
        <v>18</v>
      </c>
      <c r="K103" s="16">
        <v>155</v>
      </c>
    </row>
    <row r="104" spans="1:11" ht="12.75">
      <c r="A104" s="3">
        <v>19.1</v>
      </c>
      <c r="B104" s="4">
        <v>201</v>
      </c>
      <c r="D104" s="3">
        <v>18.5</v>
      </c>
      <c r="E104" s="4">
        <v>180</v>
      </c>
      <c r="G104" s="16">
        <v>18.1</v>
      </c>
      <c r="H104" s="16">
        <v>124</v>
      </c>
      <c r="J104" s="16">
        <v>18.1</v>
      </c>
      <c r="K104" s="16">
        <v>150</v>
      </c>
    </row>
    <row r="105" spans="1:11" ht="12.75">
      <c r="A105" s="3">
        <v>19.2</v>
      </c>
      <c r="B105" s="4">
        <v>196</v>
      </c>
      <c r="D105" s="3">
        <v>18.6</v>
      </c>
      <c r="E105" s="4">
        <v>175</v>
      </c>
      <c r="G105" s="87">
        <v>18.2</v>
      </c>
      <c r="H105" s="16">
        <v>119</v>
      </c>
      <c r="J105" s="87">
        <v>18.2</v>
      </c>
      <c r="K105" s="16">
        <v>146</v>
      </c>
    </row>
    <row r="106" spans="1:11" ht="12.75">
      <c r="A106" s="3">
        <v>19.3</v>
      </c>
      <c r="B106" s="4">
        <v>190</v>
      </c>
      <c r="D106" s="3">
        <v>18.7</v>
      </c>
      <c r="E106" s="4">
        <v>170</v>
      </c>
      <c r="G106" s="16">
        <v>18.3</v>
      </c>
      <c r="H106" s="16">
        <v>115</v>
      </c>
      <c r="J106" s="16">
        <v>18.3</v>
      </c>
      <c r="K106" s="16">
        <v>141</v>
      </c>
    </row>
    <row r="107" spans="1:11" ht="12.75">
      <c r="A107" s="3">
        <v>19.4</v>
      </c>
      <c r="B107" s="4">
        <v>185</v>
      </c>
      <c r="D107" s="3">
        <v>18.8</v>
      </c>
      <c r="E107" s="4">
        <v>165</v>
      </c>
      <c r="G107" s="87">
        <v>18.4</v>
      </c>
      <c r="H107" s="16">
        <v>110</v>
      </c>
      <c r="J107" s="87">
        <v>18.4</v>
      </c>
      <c r="K107" s="16">
        <v>136</v>
      </c>
    </row>
    <row r="108" spans="1:11" ht="12.75">
      <c r="A108" s="3">
        <v>19.5</v>
      </c>
      <c r="B108" s="4">
        <v>180</v>
      </c>
      <c r="D108" s="3">
        <v>18.9</v>
      </c>
      <c r="E108" s="4">
        <v>160</v>
      </c>
      <c r="G108" s="16">
        <v>18.5</v>
      </c>
      <c r="H108" s="16">
        <v>105</v>
      </c>
      <c r="J108" s="16">
        <v>18.5</v>
      </c>
      <c r="K108" s="16">
        <v>131</v>
      </c>
    </row>
    <row r="109" spans="1:11" ht="12.75">
      <c r="A109" s="3">
        <v>19.6</v>
      </c>
      <c r="B109" s="4">
        <v>175</v>
      </c>
      <c r="D109" s="3">
        <v>19</v>
      </c>
      <c r="E109" s="4">
        <v>155</v>
      </c>
      <c r="G109" s="87">
        <v>18.6</v>
      </c>
      <c r="H109" s="16">
        <v>101</v>
      </c>
      <c r="J109" s="87">
        <v>18.6</v>
      </c>
      <c r="K109" s="16">
        <v>127</v>
      </c>
    </row>
    <row r="110" spans="1:11" ht="12.75">
      <c r="A110" s="3">
        <v>19.7</v>
      </c>
      <c r="B110" s="4">
        <v>170</v>
      </c>
      <c r="D110" s="3">
        <v>19.1</v>
      </c>
      <c r="E110" s="4">
        <v>150</v>
      </c>
      <c r="G110" s="16">
        <v>18.7</v>
      </c>
      <c r="H110" s="16">
        <v>96</v>
      </c>
      <c r="J110" s="16">
        <v>18.7</v>
      </c>
      <c r="K110" s="16">
        <v>122</v>
      </c>
    </row>
    <row r="111" spans="1:11" ht="12.75">
      <c r="A111" s="3">
        <v>19.8</v>
      </c>
      <c r="B111" s="4">
        <v>165</v>
      </c>
      <c r="D111" s="3">
        <v>19.2</v>
      </c>
      <c r="E111" s="4">
        <v>146</v>
      </c>
      <c r="G111" s="87">
        <v>18.8</v>
      </c>
      <c r="H111" s="16">
        <v>92</v>
      </c>
      <c r="J111" s="87">
        <v>18.8</v>
      </c>
      <c r="K111" s="16">
        <v>118</v>
      </c>
    </row>
    <row r="112" spans="1:11" ht="12.75">
      <c r="A112" s="3">
        <v>19.9</v>
      </c>
      <c r="B112" s="4">
        <v>160</v>
      </c>
      <c r="D112" s="3">
        <v>19.3</v>
      </c>
      <c r="E112" s="4">
        <v>141</v>
      </c>
      <c r="G112" s="16">
        <v>18.9</v>
      </c>
      <c r="H112" s="16">
        <v>88</v>
      </c>
      <c r="J112" s="16">
        <v>18.9</v>
      </c>
      <c r="K112" s="16">
        <v>113</v>
      </c>
    </row>
    <row r="113" spans="1:11" ht="12.75">
      <c r="A113" s="3">
        <v>20</v>
      </c>
      <c r="B113" s="4">
        <v>155</v>
      </c>
      <c r="D113" s="3">
        <v>19.4</v>
      </c>
      <c r="E113" s="4">
        <v>136</v>
      </c>
      <c r="G113" s="87">
        <v>19</v>
      </c>
      <c r="H113" s="16">
        <v>84</v>
      </c>
      <c r="J113" s="87">
        <v>19</v>
      </c>
      <c r="K113" s="16">
        <v>109</v>
      </c>
    </row>
    <row r="114" spans="1:11" ht="12.75">
      <c r="A114" s="3">
        <v>20.1</v>
      </c>
      <c r="B114" s="4">
        <v>150</v>
      </c>
      <c r="D114" s="3">
        <v>19.5</v>
      </c>
      <c r="E114" s="4">
        <v>131</v>
      </c>
      <c r="G114" s="16">
        <v>19.1</v>
      </c>
      <c r="H114" s="16">
        <v>80</v>
      </c>
      <c r="J114" s="16">
        <v>19.1</v>
      </c>
      <c r="K114" s="16">
        <v>104</v>
      </c>
    </row>
    <row r="115" spans="1:11" ht="12.75">
      <c r="A115" s="3">
        <v>20.2</v>
      </c>
      <c r="B115" s="4">
        <v>146</v>
      </c>
      <c r="D115" s="3">
        <v>19.6</v>
      </c>
      <c r="E115" s="4">
        <v>127</v>
      </c>
      <c r="G115" s="87">
        <v>19.2</v>
      </c>
      <c r="H115" s="16">
        <v>76</v>
      </c>
      <c r="J115" s="87">
        <v>19.2</v>
      </c>
      <c r="K115" s="16">
        <v>100</v>
      </c>
    </row>
    <row r="116" spans="1:11" ht="12.75">
      <c r="A116" s="3">
        <v>20.3</v>
      </c>
      <c r="B116" s="4">
        <v>141</v>
      </c>
      <c r="D116" s="3">
        <v>19.7</v>
      </c>
      <c r="E116" s="4">
        <v>122</v>
      </c>
      <c r="G116" s="16">
        <v>19.3</v>
      </c>
      <c r="H116" s="16">
        <v>72</v>
      </c>
      <c r="J116" s="16">
        <v>19.3</v>
      </c>
      <c r="K116" s="16">
        <v>96</v>
      </c>
    </row>
    <row r="117" spans="1:11" ht="12.75">
      <c r="A117" s="3">
        <v>20.4</v>
      </c>
      <c r="B117" s="4">
        <v>136</v>
      </c>
      <c r="D117" s="3">
        <v>19.8</v>
      </c>
      <c r="E117" s="4">
        <v>118</v>
      </c>
      <c r="G117" s="87">
        <v>19.4</v>
      </c>
      <c r="H117" s="16">
        <v>68</v>
      </c>
      <c r="J117" s="87">
        <v>19.4</v>
      </c>
      <c r="K117" s="16">
        <v>92</v>
      </c>
    </row>
    <row r="118" spans="1:11" ht="12.75">
      <c r="A118" s="3">
        <v>20.5</v>
      </c>
      <c r="B118" s="4">
        <v>131</v>
      </c>
      <c r="D118" s="3">
        <v>19.9</v>
      </c>
      <c r="E118" s="4">
        <v>113</v>
      </c>
      <c r="G118" s="16">
        <v>19.5</v>
      </c>
      <c r="H118" s="16">
        <v>64</v>
      </c>
      <c r="J118" s="16">
        <v>19.5</v>
      </c>
      <c r="K118" s="16">
        <v>87</v>
      </c>
    </row>
    <row r="119" spans="1:11" ht="12.75">
      <c r="A119" s="3">
        <v>20.6</v>
      </c>
      <c r="B119" s="4">
        <v>127</v>
      </c>
      <c r="D119" s="3">
        <v>20</v>
      </c>
      <c r="E119" s="4">
        <v>109</v>
      </c>
      <c r="G119" s="87">
        <v>19.6</v>
      </c>
      <c r="H119" s="16">
        <v>61</v>
      </c>
      <c r="J119" s="87">
        <v>19.6</v>
      </c>
      <c r="K119" s="16">
        <v>83</v>
      </c>
    </row>
    <row r="120" spans="1:11" ht="12.75">
      <c r="A120" s="3">
        <v>20.7</v>
      </c>
      <c r="B120" s="4">
        <v>122</v>
      </c>
      <c r="D120" s="3">
        <v>20.1</v>
      </c>
      <c r="E120" s="4">
        <v>104</v>
      </c>
      <c r="G120" s="16">
        <v>19.7</v>
      </c>
      <c r="H120" s="16">
        <v>57</v>
      </c>
      <c r="J120" s="16">
        <v>19.7</v>
      </c>
      <c r="K120" s="16">
        <v>79</v>
      </c>
    </row>
    <row r="121" spans="1:11" ht="12.75">
      <c r="A121" s="3">
        <v>20.8</v>
      </c>
      <c r="B121" s="4">
        <v>118</v>
      </c>
      <c r="D121" s="3">
        <v>20.2</v>
      </c>
      <c r="E121" s="4">
        <v>100</v>
      </c>
      <c r="G121" s="87">
        <v>19.8</v>
      </c>
      <c r="H121" s="16">
        <v>54</v>
      </c>
      <c r="J121" s="87">
        <v>19.8</v>
      </c>
      <c r="K121" s="16">
        <v>75</v>
      </c>
    </row>
    <row r="122" spans="1:11" ht="12.75">
      <c r="A122" s="3">
        <v>20.9</v>
      </c>
      <c r="B122" s="4">
        <v>113</v>
      </c>
      <c r="D122" s="3">
        <v>20.3</v>
      </c>
      <c r="E122" s="4">
        <v>96</v>
      </c>
      <c r="G122" s="16">
        <v>19.9</v>
      </c>
      <c r="H122" s="16">
        <v>51</v>
      </c>
      <c r="J122" s="16">
        <v>19.9</v>
      </c>
      <c r="K122" s="16">
        <v>71</v>
      </c>
    </row>
    <row r="123" spans="1:11" ht="12.75">
      <c r="A123" s="3">
        <v>21</v>
      </c>
      <c r="B123" s="4">
        <v>109</v>
      </c>
      <c r="D123" s="3">
        <v>20.4</v>
      </c>
      <c r="E123" s="4">
        <v>92</v>
      </c>
      <c r="G123" s="87">
        <v>20</v>
      </c>
      <c r="H123" s="16">
        <v>47</v>
      </c>
      <c r="J123" s="87">
        <v>20</v>
      </c>
      <c r="K123" s="16">
        <v>67</v>
      </c>
    </row>
    <row r="124" spans="1:11" ht="12.75">
      <c r="A124" s="3">
        <v>21.1</v>
      </c>
      <c r="B124" s="4">
        <v>104</v>
      </c>
      <c r="D124" s="3">
        <v>20.5</v>
      </c>
      <c r="E124" s="4">
        <v>87</v>
      </c>
      <c r="G124" s="16">
        <v>20.1</v>
      </c>
      <c r="H124" s="16">
        <v>44</v>
      </c>
      <c r="J124" s="16">
        <v>20.1</v>
      </c>
      <c r="K124" s="16">
        <v>63</v>
      </c>
    </row>
    <row r="125" spans="1:11" ht="12.75">
      <c r="A125" s="3">
        <v>21.2</v>
      </c>
      <c r="B125" s="4">
        <v>100</v>
      </c>
      <c r="D125" s="3">
        <v>20.6</v>
      </c>
      <c r="E125" s="4">
        <v>83</v>
      </c>
      <c r="G125" s="87">
        <v>20.2</v>
      </c>
      <c r="H125" s="16">
        <v>41</v>
      </c>
      <c r="J125" s="87">
        <v>20.2</v>
      </c>
      <c r="K125" s="16">
        <v>59</v>
      </c>
    </row>
    <row r="126" spans="1:11" ht="12.75">
      <c r="A126" s="3">
        <v>21.3</v>
      </c>
      <c r="B126" s="4">
        <v>96</v>
      </c>
      <c r="D126" s="3">
        <v>20.7</v>
      </c>
      <c r="E126" s="4">
        <v>79</v>
      </c>
      <c r="G126" s="16">
        <v>20.3</v>
      </c>
      <c r="H126" s="16">
        <v>38</v>
      </c>
      <c r="J126" s="16">
        <v>20.3</v>
      </c>
      <c r="K126" s="16">
        <v>55</v>
      </c>
    </row>
    <row r="127" spans="1:11" ht="12.75">
      <c r="A127" s="3">
        <v>21.4</v>
      </c>
      <c r="B127" s="4">
        <v>92</v>
      </c>
      <c r="D127" s="3">
        <v>20.8</v>
      </c>
      <c r="E127" s="4">
        <v>75</v>
      </c>
      <c r="G127" s="87">
        <v>20.4</v>
      </c>
      <c r="H127" s="16">
        <v>36</v>
      </c>
      <c r="J127" s="87">
        <v>20.4</v>
      </c>
      <c r="K127" s="16">
        <v>51</v>
      </c>
    </row>
    <row r="128" spans="1:11" ht="12.75">
      <c r="A128" s="3">
        <v>21.5</v>
      </c>
      <c r="B128" s="4">
        <v>87</v>
      </c>
      <c r="D128" s="3">
        <v>20.9</v>
      </c>
      <c r="E128" s="4">
        <v>71</v>
      </c>
      <c r="G128" s="16">
        <v>20.5</v>
      </c>
      <c r="H128" s="16">
        <v>33</v>
      </c>
      <c r="J128" s="16">
        <v>20.5</v>
      </c>
      <c r="K128" s="16">
        <v>47</v>
      </c>
    </row>
    <row r="129" spans="1:11" ht="12.75">
      <c r="A129" s="3">
        <v>21.6</v>
      </c>
      <c r="B129" s="4">
        <v>83</v>
      </c>
      <c r="D129" s="3">
        <v>21</v>
      </c>
      <c r="E129" s="4">
        <v>67</v>
      </c>
      <c r="G129" s="87">
        <v>20.6</v>
      </c>
      <c r="H129" s="16">
        <v>30</v>
      </c>
      <c r="J129" s="87">
        <v>20.6</v>
      </c>
      <c r="K129" s="16">
        <v>43</v>
      </c>
    </row>
    <row r="130" spans="1:11" ht="12.75">
      <c r="A130" s="3">
        <v>21.7</v>
      </c>
      <c r="B130" s="4">
        <v>79</v>
      </c>
      <c r="D130" s="3">
        <v>21.1</v>
      </c>
      <c r="E130" s="4">
        <v>63</v>
      </c>
      <c r="G130" s="16">
        <v>20.7</v>
      </c>
      <c r="H130" s="16">
        <v>28</v>
      </c>
      <c r="J130" s="16">
        <v>20.7</v>
      </c>
      <c r="K130" s="16">
        <v>39</v>
      </c>
    </row>
    <row r="131" spans="1:11" ht="12.75">
      <c r="A131" s="3">
        <v>21.8</v>
      </c>
      <c r="B131" s="4">
        <v>75</v>
      </c>
      <c r="D131" s="3">
        <v>21.2</v>
      </c>
      <c r="E131" s="4">
        <v>59</v>
      </c>
      <c r="G131" s="87">
        <v>20.8</v>
      </c>
      <c r="H131" s="16">
        <v>25</v>
      </c>
      <c r="J131" s="87">
        <v>20.8</v>
      </c>
      <c r="K131" s="16">
        <v>36</v>
      </c>
    </row>
    <row r="132" spans="1:11" ht="12.75">
      <c r="A132" s="3">
        <v>21.9</v>
      </c>
      <c r="B132" s="4">
        <v>71</v>
      </c>
      <c r="D132" s="3">
        <v>21.3</v>
      </c>
      <c r="E132" s="4">
        <v>55</v>
      </c>
      <c r="G132" s="16">
        <v>20.9</v>
      </c>
      <c r="H132" s="16">
        <v>23</v>
      </c>
      <c r="J132" s="16">
        <v>20.9</v>
      </c>
      <c r="K132" s="16">
        <v>32</v>
      </c>
    </row>
    <row r="133" spans="1:11" ht="12.75">
      <c r="A133" s="3">
        <v>22</v>
      </c>
      <c r="B133" s="4">
        <v>67</v>
      </c>
      <c r="D133" s="3">
        <v>21.4</v>
      </c>
      <c r="E133" s="4">
        <v>51</v>
      </c>
      <c r="G133" s="87">
        <v>21</v>
      </c>
      <c r="H133" s="16">
        <v>21</v>
      </c>
      <c r="J133" s="87">
        <v>21</v>
      </c>
      <c r="K133" s="16">
        <v>28</v>
      </c>
    </row>
    <row r="134" spans="1:11" ht="12.75">
      <c r="A134" s="3">
        <v>22.1</v>
      </c>
      <c r="B134" s="4">
        <v>63</v>
      </c>
      <c r="D134" s="3">
        <v>21.5</v>
      </c>
      <c r="E134" s="4">
        <v>47</v>
      </c>
      <c r="G134" s="16">
        <v>21.1</v>
      </c>
      <c r="H134" s="16">
        <v>19</v>
      </c>
      <c r="J134" s="16">
        <v>21.1</v>
      </c>
      <c r="K134" s="16">
        <v>25</v>
      </c>
    </row>
    <row r="135" spans="1:11" ht="12.75">
      <c r="A135" s="3">
        <v>22.2</v>
      </c>
      <c r="B135" s="4">
        <v>59</v>
      </c>
      <c r="D135" s="3">
        <v>21.6</v>
      </c>
      <c r="E135" s="4">
        <v>43</v>
      </c>
      <c r="G135" s="87">
        <v>21.2</v>
      </c>
      <c r="H135" s="16">
        <v>15</v>
      </c>
      <c r="J135" s="87">
        <v>21.2</v>
      </c>
      <c r="K135" s="16">
        <v>21</v>
      </c>
    </row>
    <row r="136" spans="1:11" ht="12.75">
      <c r="A136" s="3">
        <v>22.3</v>
      </c>
      <c r="B136" s="4">
        <v>55</v>
      </c>
      <c r="D136" s="3">
        <v>21.7</v>
      </c>
      <c r="E136" s="4">
        <v>39</v>
      </c>
      <c r="G136" s="16">
        <v>21.3</v>
      </c>
      <c r="H136" s="16">
        <v>15</v>
      </c>
      <c r="J136" s="16">
        <v>21.3</v>
      </c>
      <c r="K136" s="16">
        <v>17</v>
      </c>
    </row>
    <row r="137" spans="1:11" ht="12.75">
      <c r="A137" s="3">
        <v>22.4</v>
      </c>
      <c r="B137" s="4">
        <v>51</v>
      </c>
      <c r="D137" s="3">
        <v>21.8</v>
      </c>
      <c r="E137" s="4">
        <v>36</v>
      </c>
      <c r="G137" s="87">
        <v>21.4</v>
      </c>
      <c r="H137" s="16">
        <v>13</v>
      </c>
      <c r="J137" s="87">
        <v>21.4</v>
      </c>
      <c r="K137" s="16">
        <v>14</v>
      </c>
    </row>
    <row r="138" spans="1:11" ht="12.75">
      <c r="A138" s="3">
        <v>22.5</v>
      </c>
      <c r="B138" s="4">
        <v>47</v>
      </c>
      <c r="D138" s="3">
        <v>21.9</v>
      </c>
      <c r="E138" s="4">
        <v>32</v>
      </c>
      <c r="G138" s="16">
        <v>21.5</v>
      </c>
      <c r="H138" s="16">
        <v>11</v>
      </c>
      <c r="J138" s="16">
        <v>21.5</v>
      </c>
      <c r="K138" s="16">
        <v>10</v>
      </c>
    </row>
    <row r="139" spans="1:11" ht="12.75">
      <c r="A139" s="3">
        <v>22.6</v>
      </c>
      <c r="B139" s="4">
        <v>43</v>
      </c>
      <c r="D139" s="3">
        <v>22</v>
      </c>
      <c r="E139" s="4">
        <v>28</v>
      </c>
      <c r="G139" s="87">
        <v>21.6</v>
      </c>
      <c r="H139" s="16">
        <v>10</v>
      </c>
      <c r="J139" s="87">
        <v>21.6</v>
      </c>
      <c r="K139" s="16">
        <v>7</v>
      </c>
    </row>
    <row r="140" spans="1:11" ht="12.75">
      <c r="A140" s="3">
        <v>22.7</v>
      </c>
      <c r="B140" s="4">
        <v>39</v>
      </c>
      <c r="D140" s="3">
        <v>22.1</v>
      </c>
      <c r="E140" s="4">
        <v>25</v>
      </c>
      <c r="G140" s="16">
        <v>21.7</v>
      </c>
      <c r="H140" s="16">
        <v>8</v>
      </c>
      <c r="J140" s="16">
        <v>21.7</v>
      </c>
      <c r="K140" s="16">
        <v>3</v>
      </c>
    </row>
    <row r="141" spans="1:11" ht="12.75">
      <c r="A141" s="3">
        <v>22.8</v>
      </c>
      <c r="B141" s="4">
        <v>36</v>
      </c>
      <c r="D141" s="3">
        <v>22.2</v>
      </c>
      <c r="E141" s="4">
        <v>21</v>
      </c>
      <c r="G141" s="87">
        <v>21.8</v>
      </c>
      <c r="H141" s="16">
        <v>7</v>
      </c>
      <c r="J141" s="87">
        <v>21.8</v>
      </c>
      <c r="K141" s="5" t="s">
        <v>6</v>
      </c>
    </row>
    <row r="142" spans="1:11" ht="12.75">
      <c r="A142" s="3">
        <v>22.9</v>
      </c>
      <c r="B142" s="4">
        <v>32</v>
      </c>
      <c r="D142" s="3">
        <v>22.3</v>
      </c>
      <c r="E142" s="4">
        <v>17</v>
      </c>
      <c r="G142" s="16">
        <v>21.9</v>
      </c>
      <c r="H142" s="16">
        <v>6</v>
      </c>
      <c r="J142" s="16">
        <v>21.9</v>
      </c>
      <c r="K142" s="5" t="s">
        <v>6</v>
      </c>
    </row>
    <row r="143" spans="1:11" ht="12.75">
      <c r="A143" s="3">
        <v>23</v>
      </c>
      <c r="B143" s="4">
        <v>28</v>
      </c>
      <c r="D143" s="3">
        <v>22.4</v>
      </c>
      <c r="E143" s="4">
        <v>14</v>
      </c>
      <c r="G143" s="87">
        <v>22</v>
      </c>
      <c r="H143" s="16">
        <v>5</v>
      </c>
      <c r="J143" s="87">
        <v>22</v>
      </c>
      <c r="K143" s="5" t="s">
        <v>6</v>
      </c>
    </row>
    <row r="144" spans="1:11" ht="12.75">
      <c r="A144" s="3">
        <v>23.1</v>
      </c>
      <c r="B144" s="4">
        <v>25</v>
      </c>
      <c r="D144" s="3">
        <v>22.5</v>
      </c>
      <c r="E144" s="4">
        <v>10</v>
      </c>
      <c r="G144">
        <v>22.0999999999999</v>
      </c>
      <c r="H144">
        <v>4</v>
      </c>
      <c r="J144" s="16">
        <v>22.1</v>
      </c>
      <c r="K144" s="5" t="s">
        <v>6</v>
      </c>
    </row>
    <row r="145" spans="1:11" ht="12.75">
      <c r="A145" s="3">
        <v>23.2</v>
      </c>
      <c r="B145" s="4">
        <v>21</v>
      </c>
      <c r="D145" s="3">
        <v>22.6</v>
      </c>
      <c r="E145" s="4">
        <v>7</v>
      </c>
      <c r="G145" s="3">
        <v>22.1999999999999</v>
      </c>
      <c r="H145">
        <v>3</v>
      </c>
      <c r="J145" s="87">
        <v>22.2</v>
      </c>
      <c r="K145" s="5" t="s">
        <v>6</v>
      </c>
    </row>
    <row r="146" spans="1:11" ht="12.75">
      <c r="A146" s="3">
        <v>23.3</v>
      </c>
      <c r="B146" s="4">
        <v>17</v>
      </c>
      <c r="D146" s="3">
        <v>22.7</v>
      </c>
      <c r="E146" s="4">
        <v>3</v>
      </c>
      <c r="G146">
        <v>22.2999999999999</v>
      </c>
      <c r="H146">
        <v>2</v>
      </c>
      <c r="J146" s="16">
        <v>22.3</v>
      </c>
      <c r="K146" s="5" t="s">
        <v>6</v>
      </c>
    </row>
    <row r="147" spans="1:11" ht="12.75">
      <c r="A147" s="3">
        <v>23.4</v>
      </c>
      <c r="B147" s="4">
        <v>14</v>
      </c>
      <c r="D147" s="3">
        <v>22.8</v>
      </c>
      <c r="E147" s="5" t="s">
        <v>6</v>
      </c>
      <c r="G147" s="3">
        <v>22.3999999999999</v>
      </c>
      <c r="H147">
        <v>1</v>
      </c>
      <c r="J147" s="87">
        <v>22.4</v>
      </c>
      <c r="K147" s="5" t="s">
        <v>6</v>
      </c>
    </row>
    <row r="148" spans="1:11" ht="12.75">
      <c r="A148" s="3">
        <v>23.5</v>
      </c>
      <c r="B148" s="4">
        <v>10</v>
      </c>
      <c r="D148" s="3">
        <v>22.9</v>
      </c>
      <c r="E148" s="5" t="s">
        <v>6</v>
      </c>
      <c r="G148">
        <v>22.4999999999999</v>
      </c>
      <c r="H148">
        <v>1</v>
      </c>
      <c r="J148" s="16">
        <v>22.5</v>
      </c>
      <c r="K148" s="5" t="s">
        <v>6</v>
      </c>
    </row>
    <row r="149" spans="1:11" ht="12.75">
      <c r="A149" s="3">
        <v>23.6</v>
      </c>
      <c r="B149" s="4">
        <v>7</v>
      </c>
      <c r="D149" s="3">
        <v>23</v>
      </c>
      <c r="E149" s="5" t="s">
        <v>6</v>
      </c>
      <c r="G149" s="3">
        <v>22.5999999999999</v>
      </c>
      <c r="H149">
        <v>1</v>
      </c>
      <c r="J149" s="87">
        <v>22.6</v>
      </c>
      <c r="K149" s="5" t="s">
        <v>6</v>
      </c>
    </row>
    <row r="150" spans="1:11" ht="12.75">
      <c r="A150" s="3">
        <v>23.7</v>
      </c>
      <c r="B150" s="4">
        <v>3</v>
      </c>
      <c r="D150" s="3">
        <v>23.1</v>
      </c>
      <c r="E150" s="5" t="s">
        <v>6</v>
      </c>
      <c r="G150">
        <v>22.7</v>
      </c>
      <c r="H150" s="5" t="s">
        <v>6</v>
      </c>
      <c r="J150" s="16">
        <v>22.7</v>
      </c>
      <c r="K150" s="5" t="s">
        <v>6</v>
      </c>
    </row>
    <row r="151" spans="1:11" ht="12.75">
      <c r="A151" s="3">
        <v>23.8</v>
      </c>
      <c r="B151" s="5" t="s">
        <v>6</v>
      </c>
      <c r="D151" s="3">
        <v>23.2</v>
      </c>
      <c r="E151" s="5" t="s">
        <v>6</v>
      </c>
      <c r="G151" s="3">
        <v>22.8000000000001</v>
      </c>
      <c r="H151" s="5" t="s">
        <v>6</v>
      </c>
      <c r="J151" s="87">
        <v>22.8</v>
      </c>
      <c r="K151" s="5" t="s">
        <v>6</v>
      </c>
    </row>
    <row r="152" spans="1:11" ht="12.75">
      <c r="A152" s="3">
        <v>23.9</v>
      </c>
      <c r="B152" s="5" t="s">
        <v>6</v>
      </c>
      <c r="D152" s="3">
        <v>23.3</v>
      </c>
      <c r="E152" s="5" t="s">
        <v>6</v>
      </c>
      <c r="G152">
        <v>22.9000000000002</v>
      </c>
      <c r="H152" s="5" t="s">
        <v>6</v>
      </c>
      <c r="J152" s="16">
        <v>22.9</v>
      </c>
      <c r="K152" s="5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38"/>
  <sheetViews>
    <sheetView tabSelected="1" zoomScale="140" zoomScaleNormal="140" workbookViewId="0" topLeftCell="A1">
      <selection activeCell="W15" sqref="W15"/>
    </sheetView>
  </sheetViews>
  <sheetFormatPr defaultColWidth="9.140625" defaultRowHeight="12.75"/>
  <cols>
    <col min="1" max="2" width="7.7109375" style="0" customWidth="1"/>
    <col min="3" max="3" width="4.7109375" style="0" customWidth="1"/>
    <col min="4" max="4" width="22.140625" style="0" customWidth="1"/>
    <col min="5" max="5" width="13.140625" style="0" customWidth="1"/>
    <col min="6" max="6" width="0.85546875" style="0" customWidth="1"/>
    <col min="7" max="7" width="7.140625" style="0" customWidth="1"/>
    <col min="8" max="8" width="0.85546875" style="0" customWidth="1"/>
    <col min="9" max="9" width="7.421875" style="0" customWidth="1"/>
    <col min="10" max="10" width="0.85546875" style="0" customWidth="1"/>
    <col min="11" max="11" width="7.421875" style="0" customWidth="1"/>
    <col min="12" max="12" width="0.85546875" style="0" customWidth="1"/>
    <col min="13" max="13" width="7.421875" style="0" customWidth="1"/>
    <col min="14" max="14" width="0.85546875" style="0" customWidth="1"/>
    <col min="15" max="15" width="2.57421875" style="0" customWidth="1"/>
    <col min="16" max="16" width="0.71875" style="0" customWidth="1"/>
    <col min="17" max="17" width="5.421875" style="0" customWidth="1"/>
    <col min="18" max="18" width="0.85546875" style="0" customWidth="1"/>
    <col min="19" max="19" width="9.7109375" style="0" customWidth="1"/>
    <col min="20" max="20" width="0.85546875" style="0" customWidth="1"/>
    <col min="21" max="21" width="9.7109375" style="0" customWidth="1"/>
    <col min="22" max="22" width="0.85546875" style="0" customWidth="1"/>
    <col min="23" max="23" width="9.7109375" style="0" customWidth="1"/>
    <col min="24" max="24" width="0.85546875" style="0" customWidth="1"/>
    <col min="25" max="25" width="9.7109375" style="0" customWidth="1"/>
    <col min="26" max="26" width="0.85546875" style="0" customWidth="1"/>
    <col min="28" max="28" width="0.85546875" style="0" customWidth="1"/>
  </cols>
  <sheetData>
    <row r="2" spans="1:2" ht="15.75">
      <c r="A2" s="1" t="s">
        <v>30</v>
      </c>
      <c r="B2" s="1"/>
    </row>
    <row r="3" spans="1:2" ht="15.75">
      <c r="A3" s="1" t="s">
        <v>31</v>
      </c>
      <c r="B3" s="1"/>
    </row>
    <row r="4" spans="1:2" ht="15.75">
      <c r="A4" s="1" t="s">
        <v>120</v>
      </c>
      <c r="B4" s="1"/>
    </row>
    <row r="5" spans="1:2" ht="15.75">
      <c r="A5" s="1"/>
      <c r="B5" s="1"/>
    </row>
    <row r="6" spans="5:9" ht="14.25" customHeight="1">
      <c r="E6" s="148" t="s">
        <v>72</v>
      </c>
      <c r="G6" s="147">
        <v>2487</v>
      </c>
      <c r="I6" s="157" t="s">
        <v>95</v>
      </c>
    </row>
    <row r="7" spans="1:17" ht="15.75">
      <c r="A7" s="6" t="s">
        <v>43</v>
      </c>
      <c r="B7" s="6"/>
      <c r="E7" s="151" t="s">
        <v>0</v>
      </c>
      <c r="G7" s="151">
        <v>2431</v>
      </c>
      <c r="H7" s="41"/>
      <c r="I7" s="158" t="s">
        <v>150</v>
      </c>
      <c r="J7" s="41"/>
      <c r="K7" s="41"/>
      <c r="L7" s="41"/>
      <c r="M7" s="41"/>
      <c r="N7" s="41"/>
      <c r="O7" s="41"/>
      <c r="P7" s="41"/>
      <c r="Q7" s="41"/>
    </row>
    <row r="8" spans="1:2" ht="12.75" customHeight="1">
      <c r="A8" s="41" t="s">
        <v>29</v>
      </c>
      <c r="B8" s="41"/>
    </row>
    <row r="9" spans="7:23" ht="12" customHeight="1">
      <c r="G9" s="13" t="s">
        <v>44</v>
      </c>
      <c r="H9" s="13"/>
      <c r="I9" s="13" t="s">
        <v>17</v>
      </c>
      <c r="J9" s="13"/>
      <c r="K9" s="13" t="s">
        <v>18</v>
      </c>
      <c r="L9" s="13"/>
      <c r="M9" s="13" t="s">
        <v>14</v>
      </c>
      <c r="N9" s="13"/>
      <c r="O9" s="13"/>
      <c r="P9" s="13"/>
      <c r="Q9" s="13" t="s">
        <v>15</v>
      </c>
      <c r="R9" s="13"/>
      <c r="S9" s="13"/>
      <c r="T9" s="13"/>
      <c r="V9" s="13"/>
      <c r="W9" s="13"/>
    </row>
    <row r="10" spans="1:23" ht="14.25" customHeight="1">
      <c r="A10" s="13" t="s">
        <v>1</v>
      </c>
      <c r="B10" s="58"/>
      <c r="C10" s="62" t="s">
        <v>21</v>
      </c>
      <c r="D10" s="11" t="s">
        <v>9</v>
      </c>
      <c r="E10" s="60" t="s">
        <v>20</v>
      </c>
      <c r="G10" s="21" t="s">
        <v>22</v>
      </c>
      <c r="H10" s="12"/>
      <c r="I10" s="21" t="s">
        <v>23</v>
      </c>
      <c r="J10" s="12"/>
      <c r="K10" s="21" t="s">
        <v>24</v>
      </c>
      <c r="L10" s="12"/>
      <c r="M10" s="21" t="s">
        <v>23</v>
      </c>
      <c r="N10" s="12"/>
      <c r="O10" s="12"/>
      <c r="P10" s="12"/>
      <c r="Q10" s="21" t="s">
        <v>22</v>
      </c>
      <c r="R10" s="12"/>
      <c r="S10" s="12"/>
      <c r="T10" s="12"/>
      <c r="V10" s="12"/>
      <c r="W10" s="12"/>
    </row>
    <row r="11" spans="1:23" ht="12.75">
      <c r="A11" s="13" t="s">
        <v>2</v>
      </c>
      <c r="B11" s="58" t="s">
        <v>37</v>
      </c>
      <c r="E11" s="10"/>
      <c r="F11" s="10"/>
      <c r="G11" s="14" t="s">
        <v>11</v>
      </c>
      <c r="H11" s="7"/>
      <c r="I11" s="14" t="s">
        <v>11</v>
      </c>
      <c r="J11" s="7"/>
      <c r="K11" s="14"/>
      <c r="L11" s="7"/>
      <c r="M11" s="14"/>
      <c r="N11" s="7"/>
      <c r="O11" s="7"/>
      <c r="P11" s="7"/>
      <c r="Q11" s="14"/>
      <c r="R11" s="7"/>
      <c r="S11" s="7"/>
      <c r="T11" s="7"/>
      <c r="V11" s="7"/>
      <c r="W11" s="7"/>
    </row>
    <row r="12" spans="2:23" ht="12.75" customHeight="1">
      <c r="B12" s="58" t="s">
        <v>2</v>
      </c>
      <c r="C12" s="11" t="s">
        <v>10</v>
      </c>
      <c r="E12" s="61" t="s">
        <v>19</v>
      </c>
      <c r="F12" s="7"/>
      <c r="G12" s="14" t="s">
        <v>12</v>
      </c>
      <c r="H12" s="7"/>
      <c r="I12" s="14" t="s">
        <v>12</v>
      </c>
      <c r="J12" s="7"/>
      <c r="K12" s="14" t="s">
        <v>12</v>
      </c>
      <c r="L12" s="7"/>
      <c r="M12" s="14" t="s">
        <v>12</v>
      </c>
      <c r="N12" s="7"/>
      <c r="O12" s="7"/>
      <c r="P12" s="7"/>
      <c r="Q12" s="14" t="s">
        <v>12</v>
      </c>
      <c r="R12" s="7"/>
      <c r="S12" s="7"/>
      <c r="T12" s="7"/>
      <c r="V12" s="7"/>
      <c r="W12" s="7"/>
    </row>
    <row r="13" spans="1:23" ht="12.75">
      <c r="A13" s="8"/>
      <c r="B13" s="8"/>
      <c r="C13" s="8"/>
      <c r="D13" s="8"/>
      <c r="E13" s="8"/>
      <c r="F13" s="8"/>
      <c r="G13" s="15" t="s">
        <v>13</v>
      </c>
      <c r="H13" s="9"/>
      <c r="I13" s="15" t="s">
        <v>13</v>
      </c>
      <c r="J13" s="9"/>
      <c r="K13" s="15" t="s">
        <v>13</v>
      </c>
      <c r="L13" s="9"/>
      <c r="M13" s="15" t="s">
        <v>13</v>
      </c>
      <c r="N13" s="9"/>
      <c r="O13" s="9"/>
      <c r="P13" s="9"/>
      <c r="Q13" s="15" t="s">
        <v>13</v>
      </c>
      <c r="R13" s="9"/>
      <c r="S13" s="19"/>
      <c r="T13" s="19"/>
      <c r="V13" s="19"/>
      <c r="W13" s="19"/>
    </row>
    <row r="14" spans="1:23" ht="13.5" customHeight="1">
      <c r="A14" s="200" t="s">
        <v>509</v>
      </c>
      <c r="B14" s="81"/>
      <c r="C14" s="180">
        <v>743</v>
      </c>
      <c r="D14" s="155" t="s">
        <v>169</v>
      </c>
      <c r="E14" s="156" t="s">
        <v>398</v>
      </c>
      <c r="F14" s="105">
        <v>89</v>
      </c>
      <c r="G14" s="82">
        <v>12.2</v>
      </c>
      <c r="H14" s="137">
        <f>G16</f>
        <v>549</v>
      </c>
      <c r="I14" s="83">
        <v>4.57</v>
      </c>
      <c r="J14" s="137">
        <f>G17+I16</f>
        <v>995</v>
      </c>
      <c r="K14" s="83">
        <v>1.46</v>
      </c>
      <c r="L14" s="18">
        <f>I17+K16</f>
        <v>1572</v>
      </c>
      <c r="M14" s="83">
        <v>9.21</v>
      </c>
      <c r="N14" s="27">
        <f>K17+M16</f>
        <v>2050</v>
      </c>
      <c r="O14" s="88">
        <v>2</v>
      </c>
      <c r="P14" s="7" t="s">
        <v>25</v>
      </c>
      <c r="Q14" s="184" t="s">
        <v>392</v>
      </c>
      <c r="R14" s="28">
        <f>M17+Q16</f>
        <v>2564</v>
      </c>
      <c r="S14" s="20"/>
      <c r="T14" s="18"/>
      <c r="V14" s="18"/>
      <c r="W14" s="18"/>
    </row>
    <row r="15" spans="1:23" ht="13.5" customHeight="1">
      <c r="A15" s="32">
        <v>1</v>
      </c>
      <c r="B15" s="79"/>
      <c r="C15" s="20"/>
      <c r="D15" s="20"/>
      <c r="E15" s="105"/>
      <c r="F15" s="100">
        <v>90</v>
      </c>
      <c r="G15" s="85"/>
      <c r="H15" s="138">
        <f>G16</f>
        <v>549</v>
      </c>
      <c r="I15" s="85"/>
      <c r="J15" s="138">
        <f>G17+I16</f>
        <v>995</v>
      </c>
      <c r="K15" s="14"/>
      <c r="L15" s="18">
        <f>I17+K16</f>
        <v>1572</v>
      </c>
      <c r="M15" s="14"/>
      <c r="N15" s="19">
        <f>K17+M16</f>
        <v>2050</v>
      </c>
      <c r="O15" s="14"/>
      <c r="P15" s="14"/>
      <c r="Q15" s="14"/>
      <c r="R15" s="29">
        <f>M17+Q16</f>
        <v>2564</v>
      </c>
      <c r="T15" s="18"/>
      <c r="U15" s="38"/>
      <c r="V15" s="18"/>
      <c r="W15" s="18"/>
    </row>
    <row r="16" spans="1:23" ht="13.5" customHeight="1">
      <c r="A16" s="32"/>
      <c r="B16" s="169"/>
      <c r="C16" s="95" t="s">
        <v>183</v>
      </c>
      <c r="D16" s="95"/>
      <c r="E16" s="108">
        <f>R14</f>
        <v>2564</v>
      </c>
      <c r="F16" s="100">
        <v>91</v>
      </c>
      <c r="G16" s="39">
        <f>IF(G14=0,0,VLOOKUP(G14,'[1]Tables'!$J$3:$K$152,2,TRUE))</f>
        <v>549</v>
      </c>
      <c r="H16" s="138">
        <f>G16</f>
        <v>549</v>
      </c>
      <c r="I16" s="139">
        <f>ROUNDDOWN(0.188807*(100*I14-210)^1.41,0)</f>
        <v>446</v>
      </c>
      <c r="J16" s="138">
        <f>G17+I16</f>
        <v>995</v>
      </c>
      <c r="K16" s="139">
        <f>ROUNDDOWN(1.84523*(100*K14-75)^1.348,0)</f>
        <v>577</v>
      </c>
      <c r="L16" s="18">
        <f>I17+K16</f>
        <v>1572</v>
      </c>
      <c r="M16" s="139">
        <f>ROUNDDOWN(56.0211*(M14-1.5)^1.05,0)</f>
        <v>478</v>
      </c>
      <c r="N16" s="19">
        <f>K17+M16</f>
        <v>2050</v>
      </c>
      <c r="O16" s="14"/>
      <c r="P16" s="14"/>
      <c r="Q16" s="140">
        <f>IF(O14+Q14=0,0,TRUNC(0.11193*((254-(O14*60+Q14))^1.88)))</f>
        <v>514</v>
      </c>
      <c r="R16" s="29">
        <f>M17+Q16</f>
        <v>2564</v>
      </c>
      <c r="T16" s="18"/>
      <c r="V16" s="18"/>
      <c r="W16" s="18"/>
    </row>
    <row r="17" spans="1:23" ht="13.5" customHeight="1">
      <c r="A17" s="33"/>
      <c r="B17" s="76"/>
      <c r="C17" s="8"/>
      <c r="D17" s="8"/>
      <c r="E17" s="8"/>
      <c r="F17" s="105">
        <v>92</v>
      </c>
      <c r="G17" s="15">
        <f>G16</f>
        <v>549</v>
      </c>
      <c r="H17" s="141">
        <f>G16</f>
        <v>549</v>
      </c>
      <c r="I17" s="15">
        <f>G17+I16</f>
        <v>995</v>
      </c>
      <c r="J17" s="138">
        <f>G17+I16</f>
        <v>995</v>
      </c>
      <c r="K17" s="15">
        <f>I17+K16</f>
        <v>1572</v>
      </c>
      <c r="L17" s="15">
        <f>I17+K16</f>
        <v>1572</v>
      </c>
      <c r="M17" s="15">
        <f>K17+M16</f>
        <v>2050</v>
      </c>
      <c r="N17" s="19">
        <f>K17+M16</f>
        <v>2050</v>
      </c>
      <c r="O17" s="15"/>
      <c r="P17" s="15"/>
      <c r="Q17" s="24">
        <f>M17+Q16</f>
        <v>2564</v>
      </c>
      <c r="R17" s="29">
        <f>M17+Q16</f>
        <v>2564</v>
      </c>
      <c r="T17" s="18"/>
      <c r="V17" s="18"/>
      <c r="W17" s="18"/>
    </row>
    <row r="18" spans="1:23" ht="13.5" customHeight="1">
      <c r="A18" s="31"/>
      <c r="B18" s="201" t="s">
        <v>0</v>
      </c>
      <c r="C18" s="180">
        <v>728</v>
      </c>
      <c r="D18" s="155" t="s">
        <v>156</v>
      </c>
      <c r="E18" s="156" t="s">
        <v>399</v>
      </c>
      <c r="F18" s="105">
        <v>29</v>
      </c>
      <c r="G18" s="102">
        <v>12.5</v>
      </c>
      <c r="H18" s="137">
        <f>G20</f>
        <v>521</v>
      </c>
      <c r="I18" s="101">
        <v>3.9</v>
      </c>
      <c r="J18" s="137">
        <f>G21+I20</f>
        <v>806</v>
      </c>
      <c r="K18" s="101">
        <v>1.4</v>
      </c>
      <c r="L18" s="18">
        <f>I21+K20</f>
        <v>1318</v>
      </c>
      <c r="M18" s="101">
        <v>8.01</v>
      </c>
      <c r="N18" s="27">
        <f>K21+M20</f>
        <v>1718</v>
      </c>
      <c r="O18" s="103">
        <v>2</v>
      </c>
      <c r="P18" s="19" t="s">
        <v>25</v>
      </c>
      <c r="Q18" s="172" t="s">
        <v>388</v>
      </c>
      <c r="R18" s="28">
        <f>M21+Q20</f>
        <v>2519</v>
      </c>
      <c r="T18" s="20"/>
      <c r="U18" s="16"/>
      <c r="V18" s="20"/>
      <c r="W18" s="20"/>
    </row>
    <row r="19" spans="1:18" ht="13.5" customHeight="1">
      <c r="A19" s="32">
        <v>2</v>
      </c>
      <c r="B19" s="81"/>
      <c r="C19" s="20"/>
      <c r="D19" s="20"/>
      <c r="E19" s="105"/>
      <c r="F19" s="100">
        <v>30</v>
      </c>
      <c r="G19" s="106"/>
      <c r="H19" s="138">
        <f>G20</f>
        <v>521</v>
      </c>
      <c r="I19" s="106"/>
      <c r="J19" s="138">
        <f>G21+I20</f>
        <v>806</v>
      </c>
      <c r="K19" s="18"/>
      <c r="L19" s="18">
        <f>I21+K20</f>
        <v>1318</v>
      </c>
      <c r="M19" s="18"/>
      <c r="N19" s="19">
        <f>K21+M20</f>
        <v>1718</v>
      </c>
      <c r="O19" s="18"/>
      <c r="P19" s="18"/>
      <c r="Q19" s="18"/>
      <c r="R19" s="29">
        <f>M21+Q20</f>
        <v>2519</v>
      </c>
    </row>
    <row r="20" spans="1:18" ht="13.5" customHeight="1">
      <c r="A20" s="97"/>
      <c r="B20" s="175">
        <v>1</v>
      </c>
      <c r="C20" s="95" t="s">
        <v>178</v>
      </c>
      <c r="D20" s="11"/>
      <c r="E20" s="25">
        <f>R18</f>
        <v>2519</v>
      </c>
      <c r="F20" s="100">
        <v>31</v>
      </c>
      <c r="G20" s="39">
        <f>IF(G18=0,0,VLOOKUP(G18,'[1]Tables'!$J$3:$K$152,2,TRUE))</f>
        <v>521</v>
      </c>
      <c r="H20" s="138">
        <f>G20</f>
        <v>521</v>
      </c>
      <c r="I20" s="139">
        <f>ROUNDDOWN(0.188807*(100*I18-210)^1.41,0)</f>
        <v>285</v>
      </c>
      <c r="J20" s="138">
        <f>G21+I20</f>
        <v>806</v>
      </c>
      <c r="K20" s="139">
        <f>ROUNDDOWN(1.84523*(100*K18-75)^1.348,0)</f>
        <v>512</v>
      </c>
      <c r="L20" s="18">
        <f>I21+K20</f>
        <v>1318</v>
      </c>
      <c r="M20" s="139">
        <f>ROUNDDOWN(56.0211*(M18-1.5)^1.05,0)</f>
        <v>400</v>
      </c>
      <c r="N20" s="19">
        <f>K21+M20</f>
        <v>1718</v>
      </c>
      <c r="O20" s="14"/>
      <c r="P20" s="14"/>
      <c r="Q20" s="140">
        <f>IF(O18+Q18=0,0,TRUNC(0.11193*((254-(O18*60+Q18))^1.88)))</f>
        <v>801</v>
      </c>
      <c r="R20" s="29">
        <f>M21+Q20</f>
        <v>2519</v>
      </c>
    </row>
    <row r="21" spans="1:23" ht="13.5" customHeight="1">
      <c r="A21" s="33"/>
      <c r="B21" s="76"/>
      <c r="C21" s="8"/>
      <c r="D21" s="8"/>
      <c r="E21" s="8"/>
      <c r="F21" s="105">
        <v>32</v>
      </c>
      <c r="G21" s="15">
        <f>G20</f>
        <v>521</v>
      </c>
      <c r="H21" s="141">
        <f>G20</f>
        <v>521</v>
      </c>
      <c r="I21" s="15">
        <f>G21+I20</f>
        <v>806</v>
      </c>
      <c r="J21" s="138">
        <f>G21+I20</f>
        <v>806</v>
      </c>
      <c r="K21" s="15">
        <f>I21+K20</f>
        <v>1318</v>
      </c>
      <c r="L21" s="15">
        <f>I21+K20</f>
        <v>1318</v>
      </c>
      <c r="M21" s="15">
        <f>K21+M20</f>
        <v>1718</v>
      </c>
      <c r="N21" s="19">
        <f>K21+M20</f>
        <v>1718</v>
      </c>
      <c r="O21" s="15"/>
      <c r="P21" s="15"/>
      <c r="Q21" s="24">
        <f>M21+Q20</f>
        <v>2519</v>
      </c>
      <c r="R21" s="29">
        <f>M21+Q20</f>
        <v>2519</v>
      </c>
      <c r="W21" s="22"/>
    </row>
    <row r="22" spans="1:19" ht="13.5" customHeight="1">
      <c r="A22" s="31"/>
      <c r="B22" s="81"/>
      <c r="C22" s="180">
        <v>738</v>
      </c>
      <c r="D22" s="155" t="s">
        <v>164</v>
      </c>
      <c r="E22" s="156" t="s">
        <v>400</v>
      </c>
      <c r="F22" s="100">
        <v>69</v>
      </c>
      <c r="G22" s="102">
        <v>12.1</v>
      </c>
      <c r="H22" s="137">
        <f>G24</f>
        <v>558</v>
      </c>
      <c r="I22" s="101">
        <v>4.45</v>
      </c>
      <c r="J22" s="137">
        <f>G25+I24</f>
        <v>974</v>
      </c>
      <c r="K22" s="101">
        <v>1.37</v>
      </c>
      <c r="L22" s="18">
        <f>I25+K24</f>
        <v>1455</v>
      </c>
      <c r="M22" s="101">
        <v>7.79</v>
      </c>
      <c r="N22" s="27">
        <f>K25+M24</f>
        <v>1841</v>
      </c>
      <c r="O22" s="103">
        <v>2</v>
      </c>
      <c r="P22" s="19" t="s">
        <v>25</v>
      </c>
      <c r="Q22" s="172" t="s">
        <v>389</v>
      </c>
      <c r="R22" s="28">
        <f>M25+Q24</f>
        <v>2430</v>
      </c>
      <c r="S22" s="18"/>
    </row>
    <row r="23" spans="1:20" ht="13.5" customHeight="1">
      <c r="A23" s="32">
        <v>3</v>
      </c>
      <c r="B23" s="81"/>
      <c r="C23" s="20"/>
      <c r="D23" s="20"/>
      <c r="E23" s="105"/>
      <c r="F23" s="100">
        <v>70</v>
      </c>
      <c r="G23" s="106"/>
      <c r="H23" s="138">
        <f>G24</f>
        <v>558</v>
      </c>
      <c r="I23" s="106"/>
      <c r="J23" s="138">
        <f>G25+I24</f>
        <v>974</v>
      </c>
      <c r="K23" s="18"/>
      <c r="L23" s="18">
        <f>I25+K24</f>
        <v>1455</v>
      </c>
      <c r="M23" s="18"/>
      <c r="N23" s="19">
        <f>K25+M24</f>
        <v>1841</v>
      </c>
      <c r="O23" s="18"/>
      <c r="P23" s="18"/>
      <c r="Q23" s="18"/>
      <c r="R23" s="29">
        <f>M25+Q24</f>
        <v>2430</v>
      </c>
      <c r="S23" s="18"/>
      <c r="T23" s="16"/>
    </row>
    <row r="24" spans="1:19" ht="13.5" customHeight="1">
      <c r="A24" s="32"/>
      <c r="B24" s="131"/>
      <c r="C24" s="95" t="s">
        <v>180</v>
      </c>
      <c r="D24" s="11"/>
      <c r="E24" s="25">
        <f>R22</f>
        <v>2430</v>
      </c>
      <c r="F24" s="105">
        <v>71</v>
      </c>
      <c r="G24" s="39">
        <f>IF(G22=0,0,VLOOKUP(G22,'[1]Tables'!$J$3:$K$152,2,TRUE))</f>
        <v>558</v>
      </c>
      <c r="H24" s="138">
        <f>G24</f>
        <v>558</v>
      </c>
      <c r="I24" s="139">
        <f>ROUNDDOWN(0.188807*(100*I22-210)^1.41,0)</f>
        <v>416</v>
      </c>
      <c r="J24" s="138">
        <f>G25+I24</f>
        <v>974</v>
      </c>
      <c r="K24" s="139">
        <f>ROUNDDOWN(1.84523*(100*K22-75)^1.348,0)</f>
        <v>481</v>
      </c>
      <c r="L24" s="18">
        <f>I25+K24</f>
        <v>1455</v>
      </c>
      <c r="M24" s="139">
        <f>ROUNDDOWN(56.0211*(M22-1.5)^1.05,0)</f>
        <v>386</v>
      </c>
      <c r="N24" s="19">
        <f>K25+M24</f>
        <v>1841</v>
      </c>
      <c r="O24" s="14"/>
      <c r="P24" s="14"/>
      <c r="Q24" s="140">
        <f>IF(O22+Q22=0,0,TRUNC(0.11193*((254-(O22*60+Q22))^1.88)))</f>
        <v>589</v>
      </c>
      <c r="R24" s="29">
        <f>M25+Q24</f>
        <v>2430</v>
      </c>
      <c r="S24" s="18"/>
    </row>
    <row r="25" spans="1:19" ht="13.5" customHeight="1">
      <c r="A25" s="33"/>
      <c r="B25" s="76"/>
      <c r="C25" s="8"/>
      <c r="D25" s="8"/>
      <c r="E25" s="8"/>
      <c r="F25" s="100">
        <v>72</v>
      </c>
      <c r="G25" s="15">
        <f>G24</f>
        <v>558</v>
      </c>
      <c r="H25" s="141">
        <f>G24</f>
        <v>558</v>
      </c>
      <c r="I25" s="15">
        <f>G25+I24</f>
        <v>974</v>
      </c>
      <c r="J25" s="138">
        <f>G25+I24</f>
        <v>974</v>
      </c>
      <c r="K25" s="15">
        <f>I25+K24</f>
        <v>1455</v>
      </c>
      <c r="L25" s="15">
        <f>I25+K24</f>
        <v>1455</v>
      </c>
      <c r="M25" s="15">
        <f>K25+M24</f>
        <v>1841</v>
      </c>
      <c r="N25" s="19">
        <f>K25+M24</f>
        <v>1841</v>
      </c>
      <c r="O25" s="15"/>
      <c r="P25" s="15"/>
      <c r="Q25" s="24">
        <f>M25+Q24</f>
        <v>2430</v>
      </c>
      <c r="R25" s="29">
        <f>M25+Q24</f>
        <v>2430</v>
      </c>
      <c r="S25" s="18"/>
    </row>
    <row r="26" spans="1:18" ht="13.5" customHeight="1">
      <c r="A26" s="31"/>
      <c r="B26" s="81"/>
      <c r="C26" s="180">
        <v>745</v>
      </c>
      <c r="D26" s="155" t="s">
        <v>171</v>
      </c>
      <c r="E26" s="156" t="s">
        <v>401</v>
      </c>
      <c r="F26" s="100">
        <v>97</v>
      </c>
      <c r="G26" s="102">
        <v>12.9</v>
      </c>
      <c r="H26" s="137">
        <f>G28</f>
        <v>489</v>
      </c>
      <c r="I26" s="101">
        <v>4.89</v>
      </c>
      <c r="J26" s="137">
        <f>G29+I28</f>
        <v>1019</v>
      </c>
      <c r="K26" s="101">
        <v>1.43</v>
      </c>
      <c r="L26" s="18">
        <f>I29+K28</f>
        <v>1563</v>
      </c>
      <c r="M26" s="101">
        <v>6.98</v>
      </c>
      <c r="N26" s="27">
        <f>K29+M28</f>
        <v>1897</v>
      </c>
      <c r="O26" s="103">
        <v>2</v>
      </c>
      <c r="P26" s="19" t="s">
        <v>25</v>
      </c>
      <c r="Q26" s="172" t="s">
        <v>393</v>
      </c>
      <c r="R26" s="28">
        <f>M29+Q28</f>
        <v>2392</v>
      </c>
    </row>
    <row r="27" spans="1:18" ht="13.5" customHeight="1">
      <c r="A27" s="32">
        <v>4</v>
      </c>
      <c r="B27" s="81"/>
      <c r="C27" s="20"/>
      <c r="D27" s="20"/>
      <c r="E27" s="105"/>
      <c r="F27" s="105">
        <v>98</v>
      </c>
      <c r="G27" s="106"/>
      <c r="H27" s="138">
        <f>G28</f>
        <v>489</v>
      </c>
      <c r="I27" s="106"/>
      <c r="J27" s="138">
        <f>G29+I28</f>
        <v>1019</v>
      </c>
      <c r="K27" s="18"/>
      <c r="L27" s="18">
        <f>I29+K28</f>
        <v>1563</v>
      </c>
      <c r="M27" s="18"/>
      <c r="N27" s="19">
        <f>K29+M28</f>
        <v>1897</v>
      </c>
      <c r="O27" s="18"/>
      <c r="P27" s="18"/>
      <c r="Q27" s="18"/>
      <c r="R27" s="29">
        <f>M29+Q28</f>
        <v>2392</v>
      </c>
    </row>
    <row r="28" spans="1:18" ht="13.5" customHeight="1">
      <c r="A28" s="97"/>
      <c r="B28" s="131"/>
      <c r="C28" s="11" t="s">
        <v>185</v>
      </c>
      <c r="E28" s="25">
        <f>R26</f>
        <v>2392</v>
      </c>
      <c r="F28" s="100">
        <v>99</v>
      </c>
      <c r="G28" s="39">
        <f>IF(G26=0,0,VLOOKUP(G26,'[1]Tables'!$J$3:$K$152,2,TRUE))</f>
        <v>489</v>
      </c>
      <c r="H28" s="138">
        <f>G28</f>
        <v>489</v>
      </c>
      <c r="I28" s="139">
        <f>ROUNDDOWN(0.188807*(100*I26-210)^1.41,0)</f>
        <v>530</v>
      </c>
      <c r="J28" s="138">
        <f>G29+I28</f>
        <v>1019</v>
      </c>
      <c r="K28" s="139">
        <f>ROUNDDOWN(1.84523*(100*K26-75)^1.348,0)</f>
        <v>544</v>
      </c>
      <c r="L28" s="18">
        <f>I29+K28</f>
        <v>1563</v>
      </c>
      <c r="M28" s="139">
        <f>ROUNDDOWN(56.0211*(M26-1.5)^1.05,0)</f>
        <v>334</v>
      </c>
      <c r="N28" s="19">
        <f>K29+M28</f>
        <v>1897</v>
      </c>
      <c r="O28" s="14"/>
      <c r="P28" s="14"/>
      <c r="Q28" s="140">
        <f>IF(O26+Q26=0,0,TRUNC(0.11193*((254-(O26*60+Q26))^1.88)))</f>
        <v>495</v>
      </c>
      <c r="R28" s="29">
        <f>M29+Q28</f>
        <v>2392</v>
      </c>
    </row>
    <row r="29" spans="1:18" ht="13.5" customHeight="1">
      <c r="A29" s="33"/>
      <c r="B29" s="76"/>
      <c r="C29" s="8"/>
      <c r="D29" s="8"/>
      <c r="E29" s="8"/>
      <c r="F29" s="100">
        <v>100</v>
      </c>
      <c r="G29" s="15">
        <f>G28</f>
        <v>489</v>
      </c>
      <c r="H29" s="141">
        <f>G28</f>
        <v>489</v>
      </c>
      <c r="I29" s="15">
        <f>G29+I28</f>
        <v>1019</v>
      </c>
      <c r="J29" s="138">
        <f>G29+I28</f>
        <v>1019</v>
      </c>
      <c r="K29" s="15">
        <f>I29+K28</f>
        <v>1563</v>
      </c>
      <c r="L29" s="15">
        <f>I29+K28</f>
        <v>1563</v>
      </c>
      <c r="M29" s="15">
        <f>K29+M28</f>
        <v>1897</v>
      </c>
      <c r="N29" s="19">
        <f>K29+M28</f>
        <v>1897</v>
      </c>
      <c r="O29" s="15"/>
      <c r="P29" s="15"/>
      <c r="Q29" s="24">
        <f>M29+Q28</f>
        <v>2392</v>
      </c>
      <c r="R29" s="29">
        <f>M29+Q28</f>
        <v>2392</v>
      </c>
    </row>
    <row r="30" spans="1:18" ht="13.5" customHeight="1">
      <c r="A30" s="31"/>
      <c r="B30" s="81"/>
      <c r="C30" s="180">
        <v>742</v>
      </c>
      <c r="D30" s="155" t="s">
        <v>168</v>
      </c>
      <c r="E30" s="156" t="s">
        <v>402</v>
      </c>
      <c r="F30" s="100">
        <v>85</v>
      </c>
      <c r="G30" s="102">
        <v>12.5</v>
      </c>
      <c r="H30" s="137">
        <f>G32</f>
        <v>521</v>
      </c>
      <c r="I30" s="101">
        <v>4.12</v>
      </c>
      <c r="J30" s="137">
        <f>G33+I32</f>
        <v>857</v>
      </c>
      <c r="K30" s="101">
        <v>1.46</v>
      </c>
      <c r="L30" s="18">
        <f>I33+K32</f>
        <v>1434</v>
      </c>
      <c r="M30" s="101">
        <v>7.51</v>
      </c>
      <c r="N30" s="27">
        <f>K33+M32</f>
        <v>1802</v>
      </c>
      <c r="O30" s="103">
        <v>2</v>
      </c>
      <c r="P30" s="19" t="s">
        <v>25</v>
      </c>
      <c r="Q30" s="172" t="s">
        <v>390</v>
      </c>
      <c r="R30" s="28">
        <f>M33+Q32</f>
        <v>2390</v>
      </c>
    </row>
    <row r="31" spans="1:18" ht="13.5" customHeight="1">
      <c r="A31" s="32">
        <v>5</v>
      </c>
      <c r="B31" s="81"/>
      <c r="C31" s="20"/>
      <c r="D31" s="20"/>
      <c r="E31" s="105"/>
      <c r="F31" s="105">
        <v>86</v>
      </c>
      <c r="G31" s="106"/>
      <c r="H31" s="138">
        <f>G32</f>
        <v>521</v>
      </c>
      <c r="I31" s="106"/>
      <c r="J31" s="138">
        <f>G33+I32</f>
        <v>857</v>
      </c>
      <c r="K31" s="18"/>
      <c r="L31" s="18">
        <f>I33+K32</f>
        <v>1434</v>
      </c>
      <c r="M31" s="18"/>
      <c r="N31" s="19">
        <f>K33+M32</f>
        <v>1802</v>
      </c>
      <c r="O31" s="18"/>
      <c r="P31" s="18"/>
      <c r="Q31" s="18"/>
      <c r="R31" s="29">
        <f>M33+Q32</f>
        <v>2390</v>
      </c>
    </row>
    <row r="32" spans="1:18" ht="13.5" customHeight="1">
      <c r="A32" s="32"/>
      <c r="B32" s="131"/>
      <c r="C32" s="95" t="s">
        <v>182</v>
      </c>
      <c r="D32" s="11"/>
      <c r="E32" s="25">
        <f>R30</f>
        <v>2390</v>
      </c>
      <c r="F32" s="100">
        <v>87</v>
      </c>
      <c r="G32" s="39">
        <f>IF(G30=0,0,VLOOKUP(G30,'[1]Tables'!$J$3:$K$152,2,TRUE))</f>
        <v>521</v>
      </c>
      <c r="H32" s="138">
        <f>G32</f>
        <v>521</v>
      </c>
      <c r="I32" s="139">
        <f>ROUNDDOWN(0.188807*(100*I30-210)^1.41,0)</f>
        <v>336</v>
      </c>
      <c r="J32" s="138">
        <f>G33+I32</f>
        <v>857</v>
      </c>
      <c r="K32" s="139">
        <f>ROUNDDOWN(1.84523*(100*K30-75)^1.348,0)</f>
        <v>577</v>
      </c>
      <c r="L32" s="18">
        <f>I33+K32</f>
        <v>1434</v>
      </c>
      <c r="M32" s="139">
        <f>ROUNDDOWN(56.0211*(M30-1.5)^1.05,0)</f>
        <v>368</v>
      </c>
      <c r="N32" s="19">
        <f>K33+M32</f>
        <v>1802</v>
      </c>
      <c r="O32" s="14"/>
      <c r="P32" s="14"/>
      <c r="Q32" s="140">
        <f>IF(O30+Q30=0,0,TRUNC(0.11193*((254-(O30*60+Q30))^1.88)))</f>
        <v>588</v>
      </c>
      <c r="R32" s="29">
        <f>M33+Q32</f>
        <v>2390</v>
      </c>
    </row>
    <row r="33" spans="1:18" ht="13.5" customHeight="1">
      <c r="A33" s="33"/>
      <c r="B33" s="76"/>
      <c r="C33" s="8"/>
      <c r="D33" s="8"/>
      <c r="E33" s="8"/>
      <c r="F33" s="100">
        <v>88</v>
      </c>
      <c r="G33" s="15">
        <f>G32</f>
        <v>521</v>
      </c>
      <c r="H33" s="141">
        <f>G32</f>
        <v>521</v>
      </c>
      <c r="I33" s="15">
        <f>G33+I32</f>
        <v>857</v>
      </c>
      <c r="J33" s="138">
        <f>G33+I32</f>
        <v>857</v>
      </c>
      <c r="K33" s="15">
        <f>I33+K32</f>
        <v>1434</v>
      </c>
      <c r="L33" s="15">
        <f>I33+K32</f>
        <v>1434</v>
      </c>
      <c r="M33" s="15">
        <f>K33+M32</f>
        <v>1802</v>
      </c>
      <c r="N33" s="19">
        <f>K33+M32</f>
        <v>1802</v>
      </c>
      <c r="O33" s="15"/>
      <c r="P33" s="15"/>
      <c r="Q33" s="24">
        <f>M33+Q32</f>
        <v>2390</v>
      </c>
      <c r="R33" s="29">
        <f>M33+Q32</f>
        <v>2390</v>
      </c>
    </row>
    <row r="34" spans="1:18" ht="13.5" customHeight="1">
      <c r="A34" s="31"/>
      <c r="B34" s="73"/>
      <c r="C34" s="180">
        <v>739</v>
      </c>
      <c r="D34" s="155" t="s">
        <v>165</v>
      </c>
      <c r="E34" s="156" t="s">
        <v>403</v>
      </c>
      <c r="F34" s="100">
        <v>73</v>
      </c>
      <c r="G34" s="82">
        <v>12.1</v>
      </c>
      <c r="H34" s="137">
        <f>G36</f>
        <v>558</v>
      </c>
      <c r="I34" s="83">
        <v>4.7</v>
      </c>
      <c r="J34" s="137">
        <f>G37+I36</f>
        <v>1037</v>
      </c>
      <c r="K34" s="83">
        <v>1.31</v>
      </c>
      <c r="L34" s="18">
        <f>I37+K36</f>
        <v>1456</v>
      </c>
      <c r="M34" s="83">
        <v>7.56</v>
      </c>
      <c r="N34" s="27">
        <f>K37+M36</f>
        <v>1827</v>
      </c>
      <c r="O34" s="88">
        <v>2</v>
      </c>
      <c r="P34" s="7" t="s">
        <v>25</v>
      </c>
      <c r="Q34" s="184" t="s">
        <v>391</v>
      </c>
      <c r="R34" s="28">
        <f>M37+Q36</f>
        <v>2368</v>
      </c>
    </row>
    <row r="35" spans="1:18" ht="13.5" customHeight="1">
      <c r="A35" s="32">
        <v>6</v>
      </c>
      <c r="B35" s="93"/>
      <c r="C35" s="20"/>
      <c r="D35" s="20"/>
      <c r="E35" s="105"/>
      <c r="F35" s="105">
        <v>74</v>
      </c>
      <c r="G35" s="85"/>
      <c r="H35" s="138">
        <f>G36</f>
        <v>558</v>
      </c>
      <c r="I35" s="85"/>
      <c r="J35" s="138">
        <f>G37+I36</f>
        <v>1037</v>
      </c>
      <c r="K35" s="14"/>
      <c r="L35" s="18">
        <f>I37+K36</f>
        <v>1456</v>
      </c>
      <c r="M35" s="14"/>
      <c r="N35" s="19">
        <f>K37+M36</f>
        <v>1827</v>
      </c>
      <c r="O35" s="14"/>
      <c r="P35" s="14"/>
      <c r="Q35" s="14"/>
      <c r="R35" s="29">
        <f>M37+Q36</f>
        <v>2368</v>
      </c>
    </row>
    <row r="36" spans="1:18" ht="13.5" customHeight="1">
      <c r="A36" s="97"/>
      <c r="B36" s="131"/>
      <c r="C36" s="11" t="s">
        <v>181</v>
      </c>
      <c r="D36" s="95"/>
      <c r="E36" s="108">
        <f>R34</f>
        <v>2368</v>
      </c>
      <c r="F36" s="100">
        <v>75</v>
      </c>
      <c r="G36" s="39">
        <f>IF(G34=0,0,VLOOKUP(G34,'[1]Tables'!$J$3:$K$152,2,TRUE))</f>
        <v>558</v>
      </c>
      <c r="H36" s="138">
        <f>G36</f>
        <v>558</v>
      </c>
      <c r="I36" s="139">
        <f>ROUNDDOWN(0.188807*(100*I34-210)^1.41,0)</f>
        <v>479</v>
      </c>
      <c r="J36" s="138">
        <f>G37+I36</f>
        <v>1037</v>
      </c>
      <c r="K36" s="139">
        <f>ROUNDDOWN(1.84523*(100*K34-75)^1.348,0)</f>
        <v>419</v>
      </c>
      <c r="L36" s="18">
        <f>I37+K36</f>
        <v>1456</v>
      </c>
      <c r="M36" s="139">
        <f>ROUNDDOWN(56.0211*(M34-1.5)^1.05,0)</f>
        <v>371</v>
      </c>
      <c r="N36" s="19">
        <f>K37+M36</f>
        <v>1827</v>
      </c>
      <c r="O36" s="14"/>
      <c r="P36" s="14"/>
      <c r="Q36" s="140">
        <f>IF(O34+Q34=0,0,TRUNC(0.11193*((254-(O34*60+Q34))^1.88)))</f>
        <v>541</v>
      </c>
      <c r="R36" s="29">
        <f>M37+Q36</f>
        <v>2368</v>
      </c>
    </row>
    <row r="37" spans="1:18" ht="13.5" customHeight="1">
      <c r="A37" s="33"/>
      <c r="B37" s="80"/>
      <c r="C37" s="8"/>
      <c r="D37" s="8"/>
      <c r="E37" s="8"/>
      <c r="F37" s="100">
        <v>76</v>
      </c>
      <c r="G37" s="15">
        <f>G36</f>
        <v>558</v>
      </c>
      <c r="H37" s="141">
        <f>G36</f>
        <v>558</v>
      </c>
      <c r="I37" s="15">
        <f>G37+I36</f>
        <v>1037</v>
      </c>
      <c r="J37" s="138">
        <f>G37+I36</f>
        <v>1037</v>
      </c>
      <c r="K37" s="15">
        <f>I37+K36</f>
        <v>1456</v>
      </c>
      <c r="L37" s="15">
        <f>I37+K36</f>
        <v>1456</v>
      </c>
      <c r="M37" s="15">
        <f>K37+M36</f>
        <v>1827</v>
      </c>
      <c r="N37" s="19">
        <f>K37+M36</f>
        <v>1827</v>
      </c>
      <c r="O37" s="15"/>
      <c r="P37" s="15"/>
      <c r="Q37" s="24">
        <f>M37+Q36</f>
        <v>2368</v>
      </c>
      <c r="R37" s="29">
        <f>M37+Q36</f>
        <v>2368</v>
      </c>
    </row>
    <row r="38" spans="1:18" ht="13.5" customHeight="1">
      <c r="A38" s="31"/>
      <c r="B38" s="81"/>
      <c r="C38" s="180">
        <v>727</v>
      </c>
      <c r="D38" s="155" t="s">
        <v>155</v>
      </c>
      <c r="E38" s="156" t="s">
        <v>404</v>
      </c>
      <c r="F38" s="100">
        <v>25</v>
      </c>
      <c r="G38" s="102">
        <v>12</v>
      </c>
      <c r="H38" s="137">
        <f>G40</f>
        <v>586</v>
      </c>
      <c r="I38" s="101">
        <v>4.14</v>
      </c>
      <c r="J38" s="137">
        <f>G41+I40</f>
        <v>926</v>
      </c>
      <c r="K38" s="101">
        <v>1.4</v>
      </c>
      <c r="L38" s="18">
        <f>I41+K40</f>
        <v>1438</v>
      </c>
      <c r="M38" s="101">
        <v>7.17</v>
      </c>
      <c r="N38" s="27">
        <f>K41+M40</f>
        <v>1784</v>
      </c>
      <c r="O38" s="103">
        <v>2</v>
      </c>
      <c r="P38" s="19" t="s">
        <v>25</v>
      </c>
      <c r="Q38" s="172" t="s">
        <v>378</v>
      </c>
      <c r="R38" s="28">
        <f>M41+Q40</f>
        <v>2176</v>
      </c>
    </row>
    <row r="39" spans="1:18" ht="13.5" customHeight="1">
      <c r="A39" s="32">
        <v>7</v>
      </c>
      <c r="B39" s="81"/>
      <c r="C39" s="20"/>
      <c r="D39" s="20"/>
      <c r="E39" s="105"/>
      <c r="F39" s="105">
        <v>26</v>
      </c>
      <c r="G39" s="106"/>
      <c r="H39" s="138">
        <f>G40</f>
        <v>586</v>
      </c>
      <c r="I39" s="106"/>
      <c r="J39" s="138">
        <f>G41+I40</f>
        <v>926</v>
      </c>
      <c r="K39" s="18"/>
      <c r="L39" s="18">
        <f>I41+K40</f>
        <v>1438</v>
      </c>
      <c r="M39" s="18"/>
      <c r="N39" s="19">
        <f>K41+M40</f>
        <v>1784</v>
      </c>
      <c r="O39" s="18"/>
      <c r="P39" s="18"/>
      <c r="Q39" s="18"/>
      <c r="R39" s="29">
        <f>M41+Q40</f>
        <v>2176</v>
      </c>
    </row>
    <row r="40" spans="1:18" ht="13.5" customHeight="1">
      <c r="A40" s="32"/>
      <c r="B40" s="131">
        <v>2</v>
      </c>
      <c r="C40" s="95" t="s">
        <v>101</v>
      </c>
      <c r="D40" s="95"/>
      <c r="E40" s="108">
        <f>R38</f>
        <v>2176</v>
      </c>
      <c r="F40" s="100">
        <v>27</v>
      </c>
      <c r="G40" s="39">
        <f>IF(G38=0,0,VLOOKUP(G38,'[1]Tables'!$J$3:$K$152,2,TRUE))</f>
        <v>586</v>
      </c>
      <c r="H40" s="138">
        <f>G40</f>
        <v>586</v>
      </c>
      <c r="I40" s="139">
        <f>ROUNDDOWN(0.188807*(100*I38-210)^1.41,0)</f>
        <v>340</v>
      </c>
      <c r="J40" s="138">
        <f>G41+I40</f>
        <v>926</v>
      </c>
      <c r="K40" s="139">
        <f>ROUNDDOWN(1.84523*(100*K38-75)^1.348,0)</f>
        <v>512</v>
      </c>
      <c r="L40" s="18">
        <f>I41+K40</f>
        <v>1438</v>
      </c>
      <c r="M40" s="139">
        <f>ROUNDDOWN(56.0211*(M38-1.5)^1.05,0)</f>
        <v>346</v>
      </c>
      <c r="N40" s="19">
        <f>K41+M40</f>
        <v>1784</v>
      </c>
      <c r="O40" s="14"/>
      <c r="P40" s="14"/>
      <c r="Q40" s="140">
        <f>IF(O38+Q38=0,0,TRUNC(0.11193*((254-(O38*60+Q38))^1.88)))</f>
        <v>392</v>
      </c>
      <c r="R40" s="29">
        <f>M41+Q40</f>
        <v>2176</v>
      </c>
    </row>
    <row r="41" spans="1:18" ht="13.5" customHeight="1">
      <c r="A41" s="33"/>
      <c r="B41" s="76"/>
      <c r="C41" s="8"/>
      <c r="D41" s="8"/>
      <c r="E41" s="8"/>
      <c r="F41" s="100">
        <v>28</v>
      </c>
      <c r="G41" s="15">
        <f>G40</f>
        <v>586</v>
      </c>
      <c r="H41" s="141">
        <f>G40</f>
        <v>586</v>
      </c>
      <c r="I41" s="15">
        <f>G41+I40</f>
        <v>926</v>
      </c>
      <c r="J41" s="138">
        <f>G41+I40</f>
        <v>926</v>
      </c>
      <c r="K41" s="15">
        <f>I41+K40</f>
        <v>1438</v>
      </c>
      <c r="L41" s="15">
        <f>I41+K40</f>
        <v>1438</v>
      </c>
      <c r="M41" s="15">
        <f>K41+M40</f>
        <v>1784</v>
      </c>
      <c r="N41" s="19">
        <f>K41+M40</f>
        <v>1784</v>
      </c>
      <c r="O41" s="15"/>
      <c r="P41" s="15"/>
      <c r="Q41" s="24">
        <f>M41+Q40</f>
        <v>2176</v>
      </c>
      <c r="R41" s="29">
        <f>M41+Q40</f>
        <v>2176</v>
      </c>
    </row>
    <row r="42" spans="1:18" ht="13.5" customHeight="1">
      <c r="A42" s="31"/>
      <c r="B42" s="81"/>
      <c r="C42" s="180">
        <v>725</v>
      </c>
      <c r="D42" s="155" t="s">
        <v>154</v>
      </c>
      <c r="E42" s="156" t="s">
        <v>405</v>
      </c>
      <c r="F42" s="105">
        <v>17</v>
      </c>
      <c r="G42" s="82">
        <v>13.3</v>
      </c>
      <c r="H42" s="137">
        <f>G44</f>
        <v>454</v>
      </c>
      <c r="I42" s="83">
        <v>4.2</v>
      </c>
      <c r="J42" s="137">
        <f>G45+I44</f>
        <v>809</v>
      </c>
      <c r="K42" s="83">
        <v>1.4</v>
      </c>
      <c r="L42" s="18">
        <f>I45+K44</f>
        <v>1321</v>
      </c>
      <c r="M42" s="83">
        <v>8.65</v>
      </c>
      <c r="N42" s="27">
        <f>K45+M44</f>
        <v>1762</v>
      </c>
      <c r="O42" s="88">
        <v>3</v>
      </c>
      <c r="P42" s="7" t="s">
        <v>25</v>
      </c>
      <c r="Q42" s="184" t="s">
        <v>395</v>
      </c>
      <c r="R42" s="28">
        <f>M45+Q44</f>
        <v>2041</v>
      </c>
    </row>
    <row r="43" spans="1:18" ht="12.75" customHeight="1">
      <c r="A43" s="32">
        <v>8</v>
      </c>
      <c r="B43" s="81"/>
      <c r="C43" s="20"/>
      <c r="D43" s="20"/>
      <c r="E43" s="105"/>
      <c r="F43" s="100">
        <v>18</v>
      </c>
      <c r="G43" s="85"/>
      <c r="H43" s="138">
        <f>G44</f>
        <v>454</v>
      </c>
      <c r="I43" s="85"/>
      <c r="J43" s="138">
        <f>G45+I44</f>
        <v>809</v>
      </c>
      <c r="K43" s="14"/>
      <c r="L43" s="18">
        <f>I45+K44</f>
        <v>1321</v>
      </c>
      <c r="M43" s="14"/>
      <c r="N43" s="19">
        <f>K45+M44</f>
        <v>1762</v>
      </c>
      <c r="O43" s="14"/>
      <c r="P43" s="14"/>
      <c r="Q43" s="14"/>
      <c r="R43" s="29">
        <f>M45+Q44</f>
        <v>2041</v>
      </c>
    </row>
    <row r="44" spans="1:18" ht="13.5" customHeight="1">
      <c r="A44" s="97"/>
      <c r="B44" s="202">
        <v>3</v>
      </c>
      <c r="C44" s="95" t="s">
        <v>176</v>
      </c>
      <c r="D44" s="95"/>
      <c r="E44" s="108">
        <f>R42</f>
        <v>2041</v>
      </c>
      <c r="F44" s="100">
        <v>19</v>
      </c>
      <c r="G44" s="39">
        <f>IF(G42=0,0,VLOOKUP(G42,'[1]Tables'!$J$3:$K$152,2,TRUE))</f>
        <v>454</v>
      </c>
      <c r="H44" s="138">
        <f>G44</f>
        <v>454</v>
      </c>
      <c r="I44" s="139">
        <f>ROUNDDOWN(0.188807*(100*I42-210)^1.41,0)</f>
        <v>355</v>
      </c>
      <c r="J44" s="138">
        <f>G45+I44</f>
        <v>809</v>
      </c>
      <c r="K44" s="139">
        <f>ROUNDDOWN(1.84523*(100*K42-75)^1.348,0)</f>
        <v>512</v>
      </c>
      <c r="L44" s="18">
        <f>I45+K44</f>
        <v>1321</v>
      </c>
      <c r="M44" s="139">
        <f>ROUNDDOWN(56.0211*(M42-1.5)^1.05,0)</f>
        <v>441</v>
      </c>
      <c r="N44" s="19">
        <f>K45+M44</f>
        <v>1762</v>
      </c>
      <c r="O44" s="14"/>
      <c r="P44" s="14"/>
      <c r="Q44" s="140">
        <f>IF(O42+Q42=0,0,TRUNC(0.11193*((254-(O42*60+Q42))^1.88)))</f>
        <v>279</v>
      </c>
      <c r="R44" s="29">
        <f>M45+Q44</f>
        <v>2041</v>
      </c>
    </row>
    <row r="45" spans="1:18" ht="13.5" customHeight="1">
      <c r="A45" s="33"/>
      <c r="B45" s="76"/>
      <c r="C45" s="8"/>
      <c r="D45" s="8"/>
      <c r="E45" s="8"/>
      <c r="F45" s="105">
        <v>20</v>
      </c>
      <c r="G45" s="15">
        <f>G44</f>
        <v>454</v>
      </c>
      <c r="H45" s="141">
        <f>G44</f>
        <v>454</v>
      </c>
      <c r="I45" s="15">
        <f>G45+I44</f>
        <v>809</v>
      </c>
      <c r="J45" s="138">
        <f>G45+I44</f>
        <v>809</v>
      </c>
      <c r="K45" s="15">
        <f>I45+K44</f>
        <v>1321</v>
      </c>
      <c r="L45" s="15">
        <f>I45+K44</f>
        <v>1321</v>
      </c>
      <c r="M45" s="15">
        <f>K45+M44</f>
        <v>1762</v>
      </c>
      <c r="N45" s="19">
        <f>K45+M44</f>
        <v>1762</v>
      </c>
      <c r="O45" s="15"/>
      <c r="P45" s="15"/>
      <c r="Q45" s="24">
        <f>M45+Q44</f>
        <v>2041</v>
      </c>
      <c r="R45" s="29">
        <f>M45+Q44</f>
        <v>2041</v>
      </c>
    </row>
    <row r="46" spans="1:18" ht="13.5" customHeight="1">
      <c r="A46" s="31"/>
      <c r="B46" s="81"/>
      <c r="C46" s="180">
        <v>726</v>
      </c>
      <c r="D46" s="155" t="s">
        <v>303</v>
      </c>
      <c r="E46" s="156" t="s">
        <v>406</v>
      </c>
      <c r="F46" s="100">
        <v>21</v>
      </c>
      <c r="G46" s="102">
        <v>12.3</v>
      </c>
      <c r="H46" s="137">
        <f>G48</f>
        <v>539</v>
      </c>
      <c r="I46" s="101">
        <v>3.7</v>
      </c>
      <c r="J46" s="137">
        <f>G49+I48</f>
        <v>781</v>
      </c>
      <c r="K46" s="101">
        <v>1.43</v>
      </c>
      <c r="L46" s="18">
        <f>I49+K48</f>
        <v>1325</v>
      </c>
      <c r="M46" s="101">
        <v>5.39</v>
      </c>
      <c r="N46" s="27">
        <f>K49+M48</f>
        <v>1558</v>
      </c>
      <c r="O46" s="103">
        <v>2</v>
      </c>
      <c r="P46" s="19" t="s">
        <v>25</v>
      </c>
      <c r="Q46" s="172" t="s">
        <v>394</v>
      </c>
      <c r="R46" s="28">
        <f>M49+Q48</f>
        <v>2015</v>
      </c>
    </row>
    <row r="47" spans="1:18" ht="12.75" customHeight="1">
      <c r="A47" s="32">
        <v>9</v>
      </c>
      <c r="B47" s="81"/>
      <c r="C47" s="20"/>
      <c r="D47" s="20"/>
      <c r="E47" s="105"/>
      <c r="F47" s="100">
        <v>22</v>
      </c>
      <c r="G47" s="106"/>
      <c r="H47" s="138">
        <f>G48</f>
        <v>539</v>
      </c>
      <c r="I47" s="106"/>
      <c r="J47" s="138">
        <f>G49+I48</f>
        <v>781</v>
      </c>
      <c r="K47" s="18"/>
      <c r="L47" s="18">
        <f>I49+K48</f>
        <v>1325</v>
      </c>
      <c r="M47" s="18"/>
      <c r="N47" s="19">
        <f>K49+M48</f>
        <v>1558</v>
      </c>
      <c r="O47" s="18"/>
      <c r="P47" s="18"/>
      <c r="Q47" s="18"/>
      <c r="R47" s="29">
        <f>M49+Q48</f>
        <v>2015</v>
      </c>
    </row>
    <row r="48" spans="1:18" ht="13.5" customHeight="1">
      <c r="A48" s="32"/>
      <c r="B48" s="131"/>
      <c r="C48" s="95" t="s">
        <v>101</v>
      </c>
      <c r="D48" s="11"/>
      <c r="E48" s="25">
        <f>R46</f>
        <v>2015</v>
      </c>
      <c r="F48" s="105">
        <v>23</v>
      </c>
      <c r="G48" s="39">
        <f>IF(G46=0,0,VLOOKUP(G46,'[1]Tables'!$J$3:$K$152,2,TRUE))</f>
        <v>539</v>
      </c>
      <c r="H48" s="138">
        <f>G48</f>
        <v>539</v>
      </c>
      <c r="I48" s="139">
        <f>ROUNDDOWN(0.188807*(100*I46-210)^1.41,0)</f>
        <v>242</v>
      </c>
      <c r="J48" s="138">
        <f>G49+I48</f>
        <v>781</v>
      </c>
      <c r="K48" s="139">
        <f>ROUNDDOWN(1.84523*(100*K46-75)^1.348,0)</f>
        <v>544</v>
      </c>
      <c r="L48" s="18">
        <f>I49+K48</f>
        <v>1325</v>
      </c>
      <c r="M48" s="139">
        <f>ROUNDDOWN(56.0211*(M46-1.5)^1.05,0)</f>
        <v>233</v>
      </c>
      <c r="N48" s="19">
        <f>K49+M48</f>
        <v>1558</v>
      </c>
      <c r="O48" s="14"/>
      <c r="P48" s="14"/>
      <c r="Q48" s="140">
        <f>IF(O46+Q46=0,0,TRUNC(0.11193*((254-(O46*60+Q46))^1.88)))</f>
        <v>457</v>
      </c>
      <c r="R48" s="29">
        <f>M49+Q48</f>
        <v>2015</v>
      </c>
    </row>
    <row r="49" spans="1:18" ht="13.5" customHeight="1">
      <c r="A49" s="33"/>
      <c r="B49" s="76"/>
      <c r="C49" s="8"/>
      <c r="D49" s="8"/>
      <c r="E49" s="8"/>
      <c r="F49" s="100">
        <v>24</v>
      </c>
      <c r="G49" s="15">
        <f>G48</f>
        <v>539</v>
      </c>
      <c r="H49" s="141">
        <f>G48</f>
        <v>539</v>
      </c>
      <c r="I49" s="15">
        <f>G49+I48</f>
        <v>781</v>
      </c>
      <c r="J49" s="138">
        <f>G49+I48</f>
        <v>781</v>
      </c>
      <c r="K49" s="15">
        <f>I49+K48</f>
        <v>1325</v>
      </c>
      <c r="L49" s="15">
        <f>I49+K48</f>
        <v>1325</v>
      </c>
      <c r="M49" s="15">
        <f>K49+M48</f>
        <v>1558</v>
      </c>
      <c r="N49" s="19">
        <f>K49+M48</f>
        <v>1558</v>
      </c>
      <c r="O49" s="15"/>
      <c r="P49" s="15"/>
      <c r="Q49" s="24">
        <f>M49+Q48</f>
        <v>2015</v>
      </c>
      <c r="R49" s="29">
        <f>M49+Q48</f>
        <v>2015</v>
      </c>
    </row>
    <row r="50" spans="1:18" ht="13.5" customHeight="1">
      <c r="A50" s="31"/>
      <c r="B50" s="81"/>
      <c r="C50" s="180">
        <v>730</v>
      </c>
      <c r="D50" s="155" t="s">
        <v>157</v>
      </c>
      <c r="E50" s="156" t="s">
        <v>407</v>
      </c>
      <c r="F50" s="100">
        <v>37</v>
      </c>
      <c r="G50" s="102">
        <v>11.7</v>
      </c>
      <c r="H50" s="137">
        <f>G52</f>
        <v>599</v>
      </c>
      <c r="I50" s="101">
        <v>3.46</v>
      </c>
      <c r="J50" s="137">
        <f>G53+I52</f>
        <v>791</v>
      </c>
      <c r="K50" s="101">
        <v>1.25</v>
      </c>
      <c r="L50" s="18">
        <f>I53+K52</f>
        <v>1150</v>
      </c>
      <c r="M50" s="101">
        <v>6.35</v>
      </c>
      <c r="N50" s="27">
        <f>K53+M52</f>
        <v>1444</v>
      </c>
      <c r="O50" s="103">
        <v>2</v>
      </c>
      <c r="P50" s="19" t="s">
        <v>25</v>
      </c>
      <c r="Q50" s="172" t="s">
        <v>377</v>
      </c>
      <c r="R50" s="28">
        <f>M53+Q52</f>
        <v>1841</v>
      </c>
    </row>
    <row r="51" spans="1:18" ht="12.75" customHeight="1">
      <c r="A51" s="32">
        <v>10</v>
      </c>
      <c r="B51" s="81"/>
      <c r="C51" s="20"/>
      <c r="D51" s="20"/>
      <c r="E51" s="105"/>
      <c r="F51" s="105">
        <v>38</v>
      </c>
      <c r="G51" s="106"/>
      <c r="H51" s="138">
        <f>G52</f>
        <v>599</v>
      </c>
      <c r="I51" s="106"/>
      <c r="J51" s="138">
        <f>G53+I52</f>
        <v>791</v>
      </c>
      <c r="K51" s="18"/>
      <c r="L51" s="18">
        <f>I53+K52</f>
        <v>1150</v>
      </c>
      <c r="M51" s="18"/>
      <c r="N51" s="19">
        <f>K53+M52</f>
        <v>1444</v>
      </c>
      <c r="O51" s="18"/>
      <c r="P51" s="18"/>
      <c r="Q51" s="18"/>
      <c r="R51" s="29">
        <f>M53+Q52</f>
        <v>1841</v>
      </c>
    </row>
    <row r="52" spans="1:18" ht="13.5" customHeight="1">
      <c r="A52" s="97"/>
      <c r="B52" s="131"/>
      <c r="C52" s="95" t="s">
        <v>86</v>
      </c>
      <c r="D52" s="11"/>
      <c r="E52" s="25">
        <f>R50</f>
        <v>1841</v>
      </c>
      <c r="F52" s="100">
        <v>39</v>
      </c>
      <c r="G52" s="39">
        <f>IF(G50=0,0,VLOOKUP(G50,'[1]Tables'!$J$3:$K$152,2,TRUE))</f>
        <v>599</v>
      </c>
      <c r="H52" s="138">
        <f>G52</f>
        <v>599</v>
      </c>
      <c r="I52" s="139">
        <f>ROUNDDOWN(0.188807*(100*I50-210)^1.41,0)</f>
        <v>192</v>
      </c>
      <c r="J52" s="138">
        <f>G53+I52</f>
        <v>791</v>
      </c>
      <c r="K52" s="139">
        <f>ROUNDDOWN(1.84523*(100*K50-75)^1.348,0)</f>
        <v>359</v>
      </c>
      <c r="L52" s="18">
        <f>I53+K52</f>
        <v>1150</v>
      </c>
      <c r="M52" s="139">
        <f>ROUNDDOWN(56.0211*(M50-1.5)^1.05,0)</f>
        <v>294</v>
      </c>
      <c r="N52" s="19">
        <f>K53+M52</f>
        <v>1444</v>
      </c>
      <c r="O52" s="14"/>
      <c r="P52" s="14"/>
      <c r="Q52" s="140">
        <f>IF(O50+Q50=0,0,TRUNC(0.11193*((254-(O50*60+Q50))^1.88)))</f>
        <v>397</v>
      </c>
      <c r="R52" s="29">
        <f>M53+Q52</f>
        <v>1841</v>
      </c>
    </row>
    <row r="53" spans="1:18" ht="13.5" customHeight="1">
      <c r="A53" s="33"/>
      <c r="B53" s="76"/>
      <c r="C53" s="8"/>
      <c r="D53" s="8"/>
      <c r="E53" s="8"/>
      <c r="F53" s="100">
        <v>40</v>
      </c>
      <c r="G53" s="15">
        <f>G52</f>
        <v>599</v>
      </c>
      <c r="H53" s="141">
        <f>G52</f>
        <v>599</v>
      </c>
      <c r="I53" s="15">
        <f>G53+I52</f>
        <v>791</v>
      </c>
      <c r="J53" s="138">
        <f>G53+I52</f>
        <v>791</v>
      </c>
      <c r="K53" s="15">
        <f>I53+K52</f>
        <v>1150</v>
      </c>
      <c r="L53" s="15">
        <f>I53+K52</f>
        <v>1150</v>
      </c>
      <c r="M53" s="15">
        <f>K53+M52</f>
        <v>1444</v>
      </c>
      <c r="N53" s="19">
        <f>K53+M52</f>
        <v>1444</v>
      </c>
      <c r="O53" s="15"/>
      <c r="P53" s="15"/>
      <c r="Q53" s="24">
        <f>M53+Q52</f>
        <v>1841</v>
      </c>
      <c r="R53" s="29">
        <f>M53+Q52</f>
        <v>1841</v>
      </c>
    </row>
    <row r="54" spans="1:18" ht="13.5" customHeight="1">
      <c r="A54" s="31"/>
      <c r="B54" s="81"/>
      <c r="C54" s="180">
        <v>740</v>
      </c>
      <c r="D54" s="155" t="s">
        <v>166</v>
      </c>
      <c r="E54" s="156" t="s">
        <v>408</v>
      </c>
      <c r="F54" s="105">
        <v>77</v>
      </c>
      <c r="G54" s="102">
        <v>13.8</v>
      </c>
      <c r="H54" s="137">
        <f>G56</f>
        <v>414</v>
      </c>
      <c r="I54" s="101">
        <v>3.59</v>
      </c>
      <c r="J54" s="137">
        <f>G57+I56</f>
        <v>632</v>
      </c>
      <c r="K54" s="101">
        <v>1.22</v>
      </c>
      <c r="L54" s="18">
        <f>I57+K56</f>
        <v>963</v>
      </c>
      <c r="M54" s="101">
        <v>5.17</v>
      </c>
      <c r="N54" s="27">
        <f>K57+M56</f>
        <v>1182</v>
      </c>
      <c r="O54" s="103">
        <v>2</v>
      </c>
      <c r="P54" s="19" t="s">
        <v>25</v>
      </c>
      <c r="Q54" s="172" t="s">
        <v>375</v>
      </c>
      <c r="R54" s="28">
        <f>M57+Q56</f>
        <v>1720</v>
      </c>
    </row>
    <row r="55" spans="1:18" ht="12.75" customHeight="1">
      <c r="A55" s="32">
        <v>11</v>
      </c>
      <c r="B55" s="81"/>
      <c r="C55" s="20"/>
      <c r="D55" s="20"/>
      <c r="E55" s="105"/>
      <c r="F55" s="100">
        <v>78</v>
      </c>
      <c r="G55" s="106"/>
      <c r="H55" s="138">
        <f>G56</f>
        <v>414</v>
      </c>
      <c r="I55" s="106"/>
      <c r="J55" s="138">
        <f>G57+I56</f>
        <v>632</v>
      </c>
      <c r="K55" s="18"/>
      <c r="L55" s="18">
        <f>I57+K56</f>
        <v>963</v>
      </c>
      <c r="M55" s="18"/>
      <c r="N55" s="19">
        <f>K57+M56</f>
        <v>1182</v>
      </c>
      <c r="O55" s="18"/>
      <c r="P55" s="18"/>
      <c r="Q55" s="18"/>
      <c r="R55" s="29">
        <f>M57+Q56</f>
        <v>1720</v>
      </c>
    </row>
    <row r="56" spans="1:18" ht="13.5" customHeight="1">
      <c r="A56" s="32"/>
      <c r="B56" s="131"/>
      <c r="C56" s="11" t="s">
        <v>143</v>
      </c>
      <c r="D56" s="11"/>
      <c r="E56" s="25">
        <f>R54</f>
        <v>1720</v>
      </c>
      <c r="F56" s="100">
        <v>79</v>
      </c>
      <c r="G56" s="39">
        <f>IF(G54=0,0,VLOOKUP(G54,'[1]Tables'!$J$3:$K$152,2,TRUE))</f>
        <v>414</v>
      </c>
      <c r="H56" s="138">
        <f>G56</f>
        <v>414</v>
      </c>
      <c r="I56" s="139">
        <f>ROUNDDOWN(0.188807*(100*I54-210)^1.41,0)</f>
        <v>218</v>
      </c>
      <c r="J56" s="138">
        <f>G57+I56</f>
        <v>632</v>
      </c>
      <c r="K56" s="139">
        <f>ROUNDDOWN(1.84523*(100*K54-75)^1.348,0)</f>
        <v>331</v>
      </c>
      <c r="L56" s="18">
        <f>I57+K56</f>
        <v>963</v>
      </c>
      <c r="M56" s="139">
        <f>ROUNDDOWN(56.0211*(M54-1.5)^1.05,0)</f>
        <v>219</v>
      </c>
      <c r="N56" s="19">
        <f>K57+M56</f>
        <v>1182</v>
      </c>
      <c r="O56" s="14"/>
      <c r="P56" s="14"/>
      <c r="Q56" s="140">
        <f>IF(O54+Q54=0,0,TRUNC(0.11193*((254-(O54*60+Q54))^1.88)))</f>
        <v>538</v>
      </c>
      <c r="R56" s="29">
        <f>M57+Q56</f>
        <v>1720</v>
      </c>
    </row>
    <row r="57" spans="1:18" ht="13.5" customHeight="1">
      <c r="A57" s="33"/>
      <c r="B57" s="76"/>
      <c r="C57" s="8"/>
      <c r="D57" s="8"/>
      <c r="E57" s="8"/>
      <c r="F57" s="105">
        <v>80</v>
      </c>
      <c r="G57" s="15">
        <f>G56</f>
        <v>414</v>
      </c>
      <c r="H57" s="141">
        <f>G56</f>
        <v>414</v>
      </c>
      <c r="I57" s="15">
        <f>G57+I56</f>
        <v>632</v>
      </c>
      <c r="J57" s="138">
        <f>G57+I56</f>
        <v>632</v>
      </c>
      <c r="K57" s="15">
        <f>I57+K56</f>
        <v>963</v>
      </c>
      <c r="L57" s="15">
        <f>I57+K56</f>
        <v>963</v>
      </c>
      <c r="M57" s="15">
        <f>K57+M56</f>
        <v>1182</v>
      </c>
      <c r="N57" s="19">
        <f>K57+M56</f>
        <v>1182</v>
      </c>
      <c r="O57" s="15"/>
      <c r="P57" s="15"/>
      <c r="Q57" s="24">
        <f>M57+Q56</f>
        <v>1720</v>
      </c>
      <c r="R57" s="29">
        <f>M57+Q56</f>
        <v>1720</v>
      </c>
    </row>
    <row r="58" spans="1:18" ht="13.5" customHeight="1">
      <c r="A58" s="31"/>
      <c r="B58" s="73"/>
      <c r="C58" s="180">
        <v>746</v>
      </c>
      <c r="D58" s="155" t="s">
        <v>172</v>
      </c>
      <c r="E58" s="156" t="s">
        <v>409</v>
      </c>
      <c r="F58" s="105">
        <v>101</v>
      </c>
      <c r="G58" s="102">
        <v>13.3</v>
      </c>
      <c r="H58" s="137">
        <f>G60</f>
        <v>454</v>
      </c>
      <c r="I58" s="101">
        <v>3.82</v>
      </c>
      <c r="J58" s="137">
        <f>G61+I60</f>
        <v>721</v>
      </c>
      <c r="K58" s="101">
        <v>1.19</v>
      </c>
      <c r="L58" s="18">
        <f>I61+K60</f>
        <v>1023</v>
      </c>
      <c r="M58" s="101">
        <v>5.14</v>
      </c>
      <c r="N58" s="27">
        <f>K61+M60</f>
        <v>1240</v>
      </c>
      <c r="O58" s="103">
        <v>2</v>
      </c>
      <c r="P58" s="19" t="s">
        <v>25</v>
      </c>
      <c r="Q58" s="172" t="s">
        <v>379</v>
      </c>
      <c r="R58" s="28">
        <f>M61+Q60</f>
        <v>1628</v>
      </c>
    </row>
    <row r="59" spans="1:18" ht="12.75" customHeight="1">
      <c r="A59" s="32">
        <v>12</v>
      </c>
      <c r="B59" s="74"/>
      <c r="C59" s="20"/>
      <c r="D59" s="20"/>
      <c r="E59" s="105"/>
      <c r="F59" s="100">
        <v>102</v>
      </c>
      <c r="G59" s="106"/>
      <c r="H59" s="138">
        <f>G60</f>
        <v>454</v>
      </c>
      <c r="I59" s="106"/>
      <c r="J59" s="138">
        <f>G61+I60</f>
        <v>721</v>
      </c>
      <c r="K59" s="18"/>
      <c r="L59" s="18">
        <f>I61+K60</f>
        <v>1023</v>
      </c>
      <c r="M59" s="18"/>
      <c r="N59" s="19">
        <f>K61+M60</f>
        <v>1240</v>
      </c>
      <c r="O59" s="18"/>
      <c r="P59" s="18"/>
      <c r="Q59" s="18"/>
      <c r="R59" s="29">
        <f>M61+Q60</f>
        <v>1628</v>
      </c>
    </row>
    <row r="60" spans="1:18" ht="13.5" customHeight="1">
      <c r="A60" s="97"/>
      <c r="B60" s="77"/>
      <c r="C60" s="11" t="s">
        <v>186</v>
      </c>
      <c r="E60" s="25">
        <f>R58</f>
        <v>1628</v>
      </c>
      <c r="F60" s="100">
        <v>103</v>
      </c>
      <c r="G60" s="39">
        <f>IF(G58=0,0,VLOOKUP(G58,'[1]Tables'!$J$3:$K$152,2,TRUE))</f>
        <v>454</v>
      </c>
      <c r="H60" s="138">
        <f>G60</f>
        <v>454</v>
      </c>
      <c r="I60" s="139">
        <f>ROUNDDOWN(0.188807*(100*I58-210)^1.41,0)</f>
        <v>267</v>
      </c>
      <c r="J60" s="138">
        <f>G61+I60</f>
        <v>721</v>
      </c>
      <c r="K60" s="139">
        <f>ROUNDDOWN(1.84523*(100*K58-75)^1.348,0)</f>
        <v>302</v>
      </c>
      <c r="L60" s="18">
        <f>I61+K60</f>
        <v>1023</v>
      </c>
      <c r="M60" s="139">
        <f>ROUNDDOWN(56.0211*(M58-1.5)^1.05,0)</f>
        <v>217</v>
      </c>
      <c r="N60" s="19">
        <f>K61+M60</f>
        <v>1240</v>
      </c>
      <c r="O60" s="14"/>
      <c r="P60" s="14"/>
      <c r="Q60" s="140">
        <f>IF(O58+Q58=0,0,TRUNC(0.11193*((254-(O58*60+Q58))^1.88)))</f>
        <v>388</v>
      </c>
      <c r="R60" s="29">
        <f>M61+Q60</f>
        <v>1628</v>
      </c>
    </row>
    <row r="61" spans="1:18" ht="13.5" customHeight="1">
      <c r="A61" s="33"/>
      <c r="B61" s="76"/>
      <c r="C61" s="8"/>
      <c r="D61" s="8"/>
      <c r="E61" s="8"/>
      <c r="F61" s="105">
        <v>104</v>
      </c>
      <c r="G61" s="15">
        <f>G60</f>
        <v>454</v>
      </c>
      <c r="H61" s="141">
        <f>G60</f>
        <v>454</v>
      </c>
      <c r="I61" s="15">
        <f>G61+I60</f>
        <v>721</v>
      </c>
      <c r="J61" s="138">
        <f>G61+I60</f>
        <v>721</v>
      </c>
      <c r="K61" s="15">
        <f>I61+K60</f>
        <v>1023</v>
      </c>
      <c r="L61" s="15">
        <f>I61+K60</f>
        <v>1023</v>
      </c>
      <c r="M61" s="15">
        <f>K61+M60</f>
        <v>1240</v>
      </c>
      <c r="N61" s="19">
        <f>K61+M60</f>
        <v>1240</v>
      </c>
      <c r="O61" s="15"/>
      <c r="P61" s="15"/>
      <c r="Q61" s="24">
        <f>M61+Q60</f>
        <v>1628</v>
      </c>
      <c r="R61" s="29">
        <f>M61+Q60</f>
        <v>1628</v>
      </c>
    </row>
    <row r="62" spans="1:18" ht="13.5" customHeight="1">
      <c r="A62" s="31"/>
      <c r="B62" s="73"/>
      <c r="C62" s="180">
        <v>744</v>
      </c>
      <c r="D62" s="155" t="s">
        <v>170</v>
      </c>
      <c r="E62" s="156" t="s">
        <v>410</v>
      </c>
      <c r="F62" s="100">
        <v>93</v>
      </c>
      <c r="G62" s="102">
        <v>14.5</v>
      </c>
      <c r="H62" s="137">
        <f>G64</f>
        <v>362</v>
      </c>
      <c r="I62" s="101">
        <v>3.71</v>
      </c>
      <c r="J62" s="137">
        <f>G65+I64</f>
        <v>606</v>
      </c>
      <c r="K62" s="101">
        <v>1.28</v>
      </c>
      <c r="L62" s="18">
        <f>I65+K64</f>
        <v>995</v>
      </c>
      <c r="M62" s="101">
        <v>5.55</v>
      </c>
      <c r="N62" s="27">
        <f>K65+M64</f>
        <v>1238</v>
      </c>
      <c r="O62" s="103">
        <v>2</v>
      </c>
      <c r="P62" s="19" t="s">
        <v>25</v>
      </c>
      <c r="Q62" s="172" t="s">
        <v>381</v>
      </c>
      <c r="R62" s="28">
        <f>M65+Q64</f>
        <v>1622</v>
      </c>
    </row>
    <row r="63" spans="1:18" ht="13.5" customHeight="1">
      <c r="A63" s="32">
        <v>13</v>
      </c>
      <c r="B63" s="73"/>
      <c r="C63" s="20"/>
      <c r="D63" s="20"/>
      <c r="E63" s="105"/>
      <c r="F63" s="100">
        <v>94</v>
      </c>
      <c r="G63" s="106"/>
      <c r="H63" s="138">
        <f>G64</f>
        <v>362</v>
      </c>
      <c r="I63" s="106"/>
      <c r="J63" s="138">
        <f>G65+I64</f>
        <v>606</v>
      </c>
      <c r="K63" s="18"/>
      <c r="L63" s="18">
        <f>I65+K64</f>
        <v>995</v>
      </c>
      <c r="M63" s="18"/>
      <c r="N63" s="19">
        <f>K65+M64</f>
        <v>1238</v>
      </c>
      <c r="O63" s="18"/>
      <c r="P63" s="18"/>
      <c r="Q63" s="18"/>
      <c r="R63" s="29">
        <f>M65+Q64</f>
        <v>1622</v>
      </c>
    </row>
    <row r="64" spans="1:18" ht="13.5" customHeight="1">
      <c r="A64" s="32"/>
      <c r="B64" s="134"/>
      <c r="C64" s="95" t="s">
        <v>184</v>
      </c>
      <c r="D64" s="11"/>
      <c r="E64" s="25">
        <f>R62</f>
        <v>1622</v>
      </c>
      <c r="F64" s="105">
        <v>95</v>
      </c>
      <c r="G64" s="39">
        <f>IF(G62=0,0,VLOOKUP(G62,'[1]Tables'!$J$3:$K$152,2,TRUE))</f>
        <v>362</v>
      </c>
      <c r="H64" s="138">
        <f>G64</f>
        <v>362</v>
      </c>
      <c r="I64" s="139">
        <f>ROUNDDOWN(0.188807*(100*I62-210)^1.41,0)</f>
        <v>244</v>
      </c>
      <c r="J64" s="138">
        <f>G65+I64</f>
        <v>606</v>
      </c>
      <c r="K64" s="139">
        <f>ROUNDDOWN(1.84523*(100*K62-75)^1.348,0)</f>
        <v>389</v>
      </c>
      <c r="L64" s="18">
        <f>I65+K64</f>
        <v>995</v>
      </c>
      <c r="M64" s="139">
        <f>ROUNDDOWN(56.0211*(M62-1.5)^1.05,0)</f>
        <v>243</v>
      </c>
      <c r="N64" s="19">
        <f>K65+M64</f>
        <v>1238</v>
      </c>
      <c r="O64" s="14"/>
      <c r="P64" s="14"/>
      <c r="Q64" s="140">
        <f>IF(O62+Q62=0,0,TRUNC(0.11193*((254-(O62*60+Q62))^1.88)))</f>
        <v>384</v>
      </c>
      <c r="R64" s="29">
        <f>M65+Q64</f>
        <v>1622</v>
      </c>
    </row>
    <row r="65" spans="1:18" ht="13.5" customHeight="1">
      <c r="A65" s="33"/>
      <c r="B65" s="76"/>
      <c r="C65" s="8"/>
      <c r="D65" s="8"/>
      <c r="E65" s="8"/>
      <c r="F65" s="100">
        <v>96</v>
      </c>
      <c r="G65" s="15">
        <f>G64</f>
        <v>362</v>
      </c>
      <c r="H65" s="141">
        <f>G64</f>
        <v>362</v>
      </c>
      <c r="I65" s="15">
        <f>G65+I64</f>
        <v>606</v>
      </c>
      <c r="J65" s="138">
        <f>G65+I64</f>
        <v>606</v>
      </c>
      <c r="K65" s="15">
        <f>I65+K64</f>
        <v>995</v>
      </c>
      <c r="L65" s="15">
        <f>I65+K64</f>
        <v>995</v>
      </c>
      <c r="M65" s="15">
        <f>K65+M64</f>
        <v>1238</v>
      </c>
      <c r="N65" s="19">
        <f>K65+M64</f>
        <v>1238</v>
      </c>
      <c r="O65" s="15"/>
      <c r="P65" s="15"/>
      <c r="Q65" s="24">
        <f>M65+Q64</f>
        <v>1622</v>
      </c>
      <c r="R65" s="29">
        <f>M65+Q64</f>
        <v>1622</v>
      </c>
    </row>
    <row r="66" spans="1:18" ht="12.75" customHeight="1">
      <c r="A66" s="31"/>
      <c r="B66" s="81"/>
      <c r="C66" s="180">
        <v>747</v>
      </c>
      <c r="D66" s="155" t="s">
        <v>173</v>
      </c>
      <c r="E66" s="156" t="s">
        <v>411</v>
      </c>
      <c r="F66" s="100">
        <v>105</v>
      </c>
      <c r="G66" s="102">
        <v>12.3</v>
      </c>
      <c r="H66" s="137">
        <f>G68</f>
        <v>539</v>
      </c>
      <c r="I66" s="101">
        <v>3.69</v>
      </c>
      <c r="J66" s="137">
        <f>G69+I68</f>
        <v>778</v>
      </c>
      <c r="K66" s="101">
        <v>1.22</v>
      </c>
      <c r="L66" s="18">
        <f>I69+K68</f>
        <v>1109</v>
      </c>
      <c r="M66" s="101">
        <v>6.4</v>
      </c>
      <c r="N66" s="27">
        <f>K69+M68</f>
        <v>1406</v>
      </c>
      <c r="O66" s="103">
        <v>3</v>
      </c>
      <c r="P66" s="19" t="s">
        <v>25</v>
      </c>
      <c r="Q66" s="172" t="s">
        <v>397</v>
      </c>
      <c r="R66" s="28">
        <f>M69+Q68</f>
        <v>1613</v>
      </c>
    </row>
    <row r="67" spans="1:18" ht="12" customHeight="1">
      <c r="A67" s="32">
        <v>14</v>
      </c>
      <c r="B67" s="81"/>
      <c r="C67" s="20"/>
      <c r="D67" s="20"/>
      <c r="E67" s="105"/>
      <c r="F67" s="100">
        <v>106</v>
      </c>
      <c r="G67" s="106"/>
      <c r="H67" s="138">
        <f>G68</f>
        <v>539</v>
      </c>
      <c r="I67" s="106"/>
      <c r="J67" s="138">
        <f>G69+I68</f>
        <v>778</v>
      </c>
      <c r="K67" s="18"/>
      <c r="L67" s="18">
        <f>I69+K68</f>
        <v>1109</v>
      </c>
      <c r="M67" s="18"/>
      <c r="N67" s="19">
        <f>K69+M68</f>
        <v>1406</v>
      </c>
      <c r="O67" s="18"/>
      <c r="P67" s="18"/>
      <c r="Q67" s="18"/>
      <c r="R67" s="29">
        <f>M69+Q68</f>
        <v>1613</v>
      </c>
    </row>
    <row r="68" spans="1:18" ht="12.75" customHeight="1">
      <c r="A68" s="97"/>
      <c r="B68" s="131"/>
      <c r="C68" s="11" t="s">
        <v>143</v>
      </c>
      <c r="D68" s="11"/>
      <c r="E68" s="25">
        <f>R66</f>
        <v>1613</v>
      </c>
      <c r="F68" s="105">
        <v>107</v>
      </c>
      <c r="G68" s="39">
        <f>IF(G66=0,0,VLOOKUP(G66,'[1]Tables'!$J$3:$K$152,2,TRUE))</f>
        <v>539</v>
      </c>
      <c r="H68" s="138">
        <f>G68</f>
        <v>539</v>
      </c>
      <c r="I68" s="139">
        <f>ROUNDDOWN(0.188807*(100*I66-210)^1.41,0)</f>
        <v>239</v>
      </c>
      <c r="J68" s="138">
        <f>G69+I68</f>
        <v>778</v>
      </c>
      <c r="K68" s="139">
        <f>ROUNDDOWN(1.84523*(100*K66-75)^1.348,0)</f>
        <v>331</v>
      </c>
      <c r="L68" s="18">
        <f>I69+K68</f>
        <v>1109</v>
      </c>
      <c r="M68" s="139">
        <f>ROUNDDOWN(56.0211*(M66-1.5)^1.05,0)</f>
        <v>297</v>
      </c>
      <c r="N68" s="19">
        <f>K69+M68</f>
        <v>1406</v>
      </c>
      <c r="O68" s="14"/>
      <c r="P68" s="14"/>
      <c r="Q68" s="140">
        <f>IF(O66+Q66=0,0,TRUNC(0.11193*((254-(O66*60+Q66))^1.88)))</f>
        <v>207</v>
      </c>
      <c r="R68" s="29">
        <f>M69+Q68</f>
        <v>1613</v>
      </c>
    </row>
    <row r="69" spans="1:18" ht="12.75" customHeight="1">
      <c r="A69" s="33"/>
      <c r="B69" s="76"/>
      <c r="C69" s="8"/>
      <c r="D69" s="8"/>
      <c r="E69" s="8"/>
      <c r="F69" s="100">
        <v>108</v>
      </c>
      <c r="G69" s="15">
        <f>G68</f>
        <v>539</v>
      </c>
      <c r="H69" s="141">
        <f>G68</f>
        <v>539</v>
      </c>
      <c r="I69" s="15">
        <f>G69+I68</f>
        <v>778</v>
      </c>
      <c r="J69" s="138">
        <f>G69+I68</f>
        <v>778</v>
      </c>
      <c r="K69" s="15">
        <f>I69+K68</f>
        <v>1109</v>
      </c>
      <c r="L69" s="15">
        <f>I69+K68</f>
        <v>1109</v>
      </c>
      <c r="M69" s="15">
        <f>K69+M68</f>
        <v>1406</v>
      </c>
      <c r="N69" s="19">
        <f>K69+M68</f>
        <v>1406</v>
      </c>
      <c r="O69" s="15"/>
      <c r="P69" s="15"/>
      <c r="Q69" s="24">
        <f>M69+Q68</f>
        <v>1613</v>
      </c>
      <c r="R69" s="29">
        <f>M69+Q68</f>
        <v>1613</v>
      </c>
    </row>
    <row r="70" spans="1:19" ht="12.75" customHeight="1">
      <c r="A70" s="31"/>
      <c r="B70" s="81"/>
      <c r="C70" s="180">
        <v>734</v>
      </c>
      <c r="D70" s="155" t="s">
        <v>160</v>
      </c>
      <c r="E70" s="156" t="s">
        <v>412</v>
      </c>
      <c r="F70" s="105">
        <v>53</v>
      </c>
      <c r="G70" s="82">
        <v>13.7</v>
      </c>
      <c r="H70" s="137">
        <f>G72</f>
        <v>422</v>
      </c>
      <c r="I70" s="83">
        <v>3.78</v>
      </c>
      <c r="J70" s="137">
        <f>G73+I72</f>
        <v>681</v>
      </c>
      <c r="K70" s="83">
        <v>1.28</v>
      </c>
      <c r="L70" s="18">
        <f>I73+K72</f>
        <v>1070</v>
      </c>
      <c r="M70" s="83">
        <v>5.86</v>
      </c>
      <c r="N70" s="27">
        <f>K73+M72</f>
        <v>1332</v>
      </c>
      <c r="O70" s="88">
        <v>3</v>
      </c>
      <c r="P70" s="7" t="s">
        <v>25</v>
      </c>
      <c r="Q70" s="184" t="s">
        <v>396</v>
      </c>
      <c r="R70" s="28">
        <f>M73+Q72</f>
        <v>1575</v>
      </c>
      <c r="S70" s="20"/>
    </row>
    <row r="71" spans="1:19" ht="12" customHeight="1">
      <c r="A71" s="32">
        <v>15</v>
      </c>
      <c r="B71" s="81"/>
      <c r="C71" s="20"/>
      <c r="D71" s="20"/>
      <c r="E71" s="105"/>
      <c r="F71" s="100">
        <v>54</v>
      </c>
      <c r="G71" s="85"/>
      <c r="H71" s="138">
        <f>G72</f>
        <v>422</v>
      </c>
      <c r="I71" s="85"/>
      <c r="J71" s="138">
        <f>G73+I72</f>
        <v>681</v>
      </c>
      <c r="K71" s="14"/>
      <c r="L71" s="18">
        <f>I73+K72</f>
        <v>1070</v>
      </c>
      <c r="M71" s="14"/>
      <c r="N71" s="19">
        <f>K73+M72</f>
        <v>1332</v>
      </c>
      <c r="O71" s="14"/>
      <c r="P71" s="14"/>
      <c r="Q71" s="14"/>
      <c r="R71" s="29">
        <f>M73+Q72</f>
        <v>1575</v>
      </c>
      <c r="S71" s="20"/>
    </row>
    <row r="72" spans="1:19" ht="12.75" customHeight="1">
      <c r="A72" s="32"/>
      <c r="B72" s="131"/>
      <c r="C72" s="95" t="s">
        <v>57</v>
      </c>
      <c r="D72" s="95"/>
      <c r="E72" s="108">
        <f>R70</f>
        <v>1575</v>
      </c>
      <c r="F72" s="100">
        <v>55</v>
      </c>
      <c r="G72" s="39">
        <f>IF(G70=0,0,VLOOKUP(G70,'[1]Tables'!$J$3:$K$152,2,TRUE))</f>
        <v>422</v>
      </c>
      <c r="H72" s="138">
        <f>G72</f>
        <v>422</v>
      </c>
      <c r="I72" s="139">
        <f>ROUNDDOWN(0.188807*(100*I70-210)^1.41,0)</f>
        <v>259</v>
      </c>
      <c r="J72" s="138">
        <f>G73+I72</f>
        <v>681</v>
      </c>
      <c r="K72" s="139">
        <f>ROUNDDOWN(1.84523*(100*K70-75)^1.348,0)</f>
        <v>389</v>
      </c>
      <c r="L72" s="18">
        <f>I73+K72</f>
        <v>1070</v>
      </c>
      <c r="M72" s="139">
        <f>ROUNDDOWN(56.0211*(M70-1.5)^1.05,0)</f>
        <v>262</v>
      </c>
      <c r="N72" s="19">
        <f>K73+M72</f>
        <v>1332</v>
      </c>
      <c r="O72" s="14"/>
      <c r="P72" s="14"/>
      <c r="Q72" s="140">
        <f>IF(O70+Q70=0,0,TRUNC(0.11193*((254-(O70*60+Q70))^1.88)))</f>
        <v>243</v>
      </c>
      <c r="R72" s="29">
        <f>M73+Q72</f>
        <v>1575</v>
      </c>
      <c r="S72" s="20"/>
    </row>
    <row r="73" spans="1:19" ht="12.75" customHeight="1">
      <c r="A73" s="33"/>
      <c r="B73" s="76"/>
      <c r="C73" s="8"/>
      <c r="D73" s="8"/>
      <c r="E73" s="8"/>
      <c r="F73" s="105">
        <v>56</v>
      </c>
      <c r="G73" s="15">
        <f>G72</f>
        <v>422</v>
      </c>
      <c r="H73" s="141">
        <f>G72</f>
        <v>422</v>
      </c>
      <c r="I73" s="15">
        <f>G73+I72</f>
        <v>681</v>
      </c>
      <c r="J73" s="138">
        <f>G73+I72</f>
        <v>681</v>
      </c>
      <c r="K73" s="15">
        <f>I73+K72</f>
        <v>1070</v>
      </c>
      <c r="L73" s="15">
        <f>I73+K72</f>
        <v>1070</v>
      </c>
      <c r="M73" s="15">
        <f>K73+M72</f>
        <v>1332</v>
      </c>
      <c r="N73" s="19">
        <f>K73+M72</f>
        <v>1332</v>
      </c>
      <c r="O73" s="15"/>
      <c r="P73" s="15"/>
      <c r="Q73" s="24">
        <f>M73+Q72</f>
        <v>1575</v>
      </c>
      <c r="R73" s="29">
        <f>M73+Q72</f>
        <v>1575</v>
      </c>
      <c r="S73" s="20"/>
    </row>
    <row r="74" spans="1:19" ht="12.75" customHeight="1">
      <c r="A74" s="31"/>
      <c r="B74" s="81"/>
      <c r="C74" s="180">
        <v>737</v>
      </c>
      <c r="D74" s="155" t="s">
        <v>163</v>
      </c>
      <c r="E74" s="156" t="s">
        <v>413</v>
      </c>
      <c r="F74" s="105">
        <v>65</v>
      </c>
      <c r="G74" s="102">
        <v>12.5</v>
      </c>
      <c r="H74" s="137">
        <f>G76</f>
        <v>521</v>
      </c>
      <c r="I74" s="101">
        <v>3.89</v>
      </c>
      <c r="J74" s="137">
        <f>G77+I76</f>
        <v>804</v>
      </c>
      <c r="K74" s="101">
        <v>1.04</v>
      </c>
      <c r="L74" s="18">
        <f>I77+K76</f>
        <v>976</v>
      </c>
      <c r="M74" s="101">
        <v>5.39</v>
      </c>
      <c r="N74" s="27">
        <f>K77+M76</f>
        <v>1209</v>
      </c>
      <c r="O74" s="103">
        <v>3</v>
      </c>
      <c r="P74" s="19" t="s">
        <v>25</v>
      </c>
      <c r="Q74" s="172" t="s">
        <v>382</v>
      </c>
      <c r="R74" s="28">
        <f>M77+Q76</f>
        <v>1557</v>
      </c>
      <c r="S74" s="20"/>
    </row>
    <row r="75" spans="1:19" ht="12" customHeight="1">
      <c r="A75" s="32">
        <v>16</v>
      </c>
      <c r="B75" s="81"/>
      <c r="C75" s="20"/>
      <c r="D75" s="20"/>
      <c r="E75" s="105"/>
      <c r="F75" s="100">
        <v>66</v>
      </c>
      <c r="G75" s="106"/>
      <c r="H75" s="138">
        <f>G76</f>
        <v>521</v>
      </c>
      <c r="I75" s="106"/>
      <c r="J75" s="138">
        <f>G77+I76</f>
        <v>804</v>
      </c>
      <c r="K75" s="18"/>
      <c r="L75" s="18">
        <f>I77+K76</f>
        <v>976</v>
      </c>
      <c r="M75" s="18"/>
      <c r="N75" s="19">
        <f>K77+M76</f>
        <v>1209</v>
      </c>
      <c r="O75" s="18"/>
      <c r="P75" s="18"/>
      <c r="Q75" s="18"/>
      <c r="R75" s="29">
        <f>M77+Q76</f>
        <v>1557</v>
      </c>
      <c r="S75" s="20"/>
    </row>
    <row r="76" spans="1:19" ht="12.75" customHeight="1">
      <c r="A76" s="97"/>
      <c r="B76" s="154"/>
      <c r="C76" s="95" t="s">
        <v>142</v>
      </c>
      <c r="D76" s="11"/>
      <c r="E76" s="25">
        <f>R74</f>
        <v>1557</v>
      </c>
      <c r="F76" s="100">
        <v>67</v>
      </c>
      <c r="G76" s="39">
        <f>IF(G74=0,0,VLOOKUP(G74,'[1]Tables'!$J$3:$K$152,2,TRUE))</f>
        <v>521</v>
      </c>
      <c r="H76" s="138">
        <f>G76</f>
        <v>521</v>
      </c>
      <c r="I76" s="139">
        <f>ROUNDDOWN(0.188807*(100*I74-210)^1.41,0)</f>
        <v>283</v>
      </c>
      <c r="J76" s="138">
        <f>G77+I76</f>
        <v>804</v>
      </c>
      <c r="K76" s="139">
        <f>ROUNDDOWN(1.84523*(100*K74-75)^1.348,0)</f>
        <v>172</v>
      </c>
      <c r="L76" s="18">
        <f>I77+K76</f>
        <v>976</v>
      </c>
      <c r="M76" s="139">
        <f>ROUNDDOWN(56.0211*(M74-1.5)^1.05,0)</f>
        <v>233</v>
      </c>
      <c r="N76" s="19">
        <f>K77+M76</f>
        <v>1209</v>
      </c>
      <c r="O76" s="14"/>
      <c r="P76" s="14"/>
      <c r="Q76" s="140">
        <f>IF(O74+Q74=0,0,TRUNC(0.11193*((254-(O74*60+Q74))^1.88)))</f>
        <v>348</v>
      </c>
      <c r="R76" s="29">
        <f>M77+Q76</f>
        <v>1557</v>
      </c>
      <c r="S76" s="20"/>
    </row>
    <row r="77" spans="1:19" ht="12.75" customHeight="1">
      <c r="A77" s="33"/>
      <c r="B77" s="76"/>
      <c r="C77" s="8"/>
      <c r="D77" s="8"/>
      <c r="E77" s="8"/>
      <c r="F77" s="105">
        <v>68</v>
      </c>
      <c r="G77" s="15">
        <f>G76</f>
        <v>521</v>
      </c>
      <c r="H77" s="141">
        <f>G76</f>
        <v>521</v>
      </c>
      <c r="I77" s="15">
        <f>G77+I76</f>
        <v>804</v>
      </c>
      <c r="J77" s="138">
        <f>G77+I76</f>
        <v>804</v>
      </c>
      <c r="K77" s="15">
        <f>I77+K76</f>
        <v>976</v>
      </c>
      <c r="L77" s="15">
        <f>I77+K76</f>
        <v>976</v>
      </c>
      <c r="M77" s="15">
        <f>K77+M76</f>
        <v>1209</v>
      </c>
      <c r="N77" s="19">
        <f>K77+M76</f>
        <v>1209</v>
      </c>
      <c r="O77" s="15"/>
      <c r="P77" s="15"/>
      <c r="Q77" s="24">
        <f>M77+Q76</f>
        <v>1557</v>
      </c>
      <c r="R77" s="29">
        <f>M77+Q76</f>
        <v>1557</v>
      </c>
      <c r="S77" s="20"/>
    </row>
    <row r="78" spans="1:20" ht="12.75" customHeight="1">
      <c r="A78" s="31"/>
      <c r="B78" s="81"/>
      <c r="C78" s="180">
        <v>722</v>
      </c>
      <c r="D78" s="155" t="s">
        <v>151</v>
      </c>
      <c r="E78" s="156" t="s">
        <v>414</v>
      </c>
      <c r="F78" s="105">
        <v>5</v>
      </c>
      <c r="G78" s="82">
        <v>13.3</v>
      </c>
      <c r="H78" s="137">
        <f>G80</f>
        <v>454</v>
      </c>
      <c r="I78" s="83">
        <v>3.31</v>
      </c>
      <c r="J78" s="137">
        <f>G81+I80</f>
        <v>617</v>
      </c>
      <c r="K78" s="83">
        <v>1.16</v>
      </c>
      <c r="L78" s="18">
        <f>I81+K80</f>
        <v>892</v>
      </c>
      <c r="M78" s="83">
        <v>5.33</v>
      </c>
      <c r="N78" s="27">
        <f>K81+M80</f>
        <v>1121</v>
      </c>
      <c r="O78" s="88">
        <v>2</v>
      </c>
      <c r="P78" s="7" t="s">
        <v>25</v>
      </c>
      <c r="Q78" s="184" t="s">
        <v>377</v>
      </c>
      <c r="R78" s="28">
        <f>M81+Q80</f>
        <v>1518</v>
      </c>
      <c r="S78" s="20"/>
      <c r="T78" s="16"/>
    </row>
    <row r="79" spans="1:19" ht="12" customHeight="1">
      <c r="A79" s="32">
        <v>17</v>
      </c>
      <c r="B79" s="81"/>
      <c r="C79" s="20"/>
      <c r="D79" s="20"/>
      <c r="E79" s="105"/>
      <c r="F79" s="100">
        <v>6</v>
      </c>
      <c r="G79" s="85"/>
      <c r="H79" s="138">
        <f>G80</f>
        <v>454</v>
      </c>
      <c r="I79" s="85"/>
      <c r="J79" s="138">
        <f>G81+I80</f>
        <v>617</v>
      </c>
      <c r="K79" s="14"/>
      <c r="L79" s="18">
        <f>I81+K80</f>
        <v>892</v>
      </c>
      <c r="M79" s="14"/>
      <c r="N79" s="19">
        <f>K81+M80</f>
        <v>1121</v>
      </c>
      <c r="O79" s="14"/>
      <c r="P79" s="14"/>
      <c r="Q79" s="14"/>
      <c r="R79" s="29">
        <f>M81+Q80</f>
        <v>1518</v>
      </c>
      <c r="S79" s="20"/>
    </row>
    <row r="80" spans="1:19" ht="12.75" customHeight="1">
      <c r="A80" s="32"/>
      <c r="B80" s="131"/>
      <c r="C80" s="11" t="s">
        <v>103</v>
      </c>
      <c r="D80" s="95"/>
      <c r="E80" s="108">
        <f>R78</f>
        <v>1518</v>
      </c>
      <c r="F80" s="100">
        <v>7</v>
      </c>
      <c r="G80" s="39">
        <f>IF(G78=0,0,VLOOKUP(G78,'[1]Tables'!$J$3:$K$152,2,TRUE))</f>
        <v>454</v>
      </c>
      <c r="H80" s="138">
        <f>G80</f>
        <v>454</v>
      </c>
      <c r="I80" s="139">
        <f>ROUNDDOWN(0.188807*(100*I78-210)^1.41,0)</f>
        <v>163</v>
      </c>
      <c r="J80" s="138">
        <f>G81+I80</f>
        <v>617</v>
      </c>
      <c r="K80" s="139">
        <f>ROUNDDOWN(1.84523*(100*K78-75)^1.348,0)</f>
        <v>275</v>
      </c>
      <c r="L80" s="18">
        <f>I81+K80</f>
        <v>892</v>
      </c>
      <c r="M80" s="139">
        <f>ROUNDDOWN(56.0211*(M78-1.5)^1.05,0)</f>
        <v>229</v>
      </c>
      <c r="N80" s="19">
        <f>K81+M80</f>
        <v>1121</v>
      </c>
      <c r="O80" s="18"/>
      <c r="P80" s="18"/>
      <c r="Q80" s="140">
        <f>IF(O78+Q78=0,0,TRUNC(0.11193*((254-(O78*60+Q78))^1.88)))</f>
        <v>397</v>
      </c>
      <c r="R80" s="29">
        <f>M81+Q80</f>
        <v>1518</v>
      </c>
      <c r="S80" s="20"/>
    </row>
    <row r="81" spans="1:19" ht="12.75" customHeight="1">
      <c r="A81" s="33"/>
      <c r="B81" s="76"/>
      <c r="C81" s="8"/>
      <c r="D81" s="8"/>
      <c r="E81" s="8"/>
      <c r="F81" s="105">
        <v>8</v>
      </c>
      <c r="G81" s="15">
        <f>G80</f>
        <v>454</v>
      </c>
      <c r="H81" s="141">
        <f>G80</f>
        <v>454</v>
      </c>
      <c r="I81" s="15">
        <f>G81+I80</f>
        <v>617</v>
      </c>
      <c r="J81" s="138">
        <f>G81+I80</f>
        <v>617</v>
      </c>
      <c r="K81" s="15">
        <f>I81+K80</f>
        <v>892</v>
      </c>
      <c r="L81" s="15">
        <f>I81+K80</f>
        <v>892</v>
      </c>
      <c r="M81" s="15">
        <f>K81+M80</f>
        <v>1121</v>
      </c>
      <c r="N81" s="19">
        <f>K81+M80</f>
        <v>1121</v>
      </c>
      <c r="O81" s="15"/>
      <c r="P81" s="15"/>
      <c r="Q81" s="24">
        <f>M81+Q80</f>
        <v>1518</v>
      </c>
      <c r="R81" s="29">
        <f>M81+Q80</f>
        <v>1518</v>
      </c>
      <c r="S81" s="20"/>
    </row>
    <row r="82" spans="1:19" ht="12.75" customHeight="1">
      <c r="A82" s="31"/>
      <c r="B82" s="81"/>
      <c r="C82" s="180">
        <v>741</v>
      </c>
      <c r="D82" s="155" t="s">
        <v>167</v>
      </c>
      <c r="E82" s="156" t="s">
        <v>415</v>
      </c>
      <c r="F82" s="100">
        <v>81</v>
      </c>
      <c r="G82" s="102">
        <v>13.4</v>
      </c>
      <c r="H82" s="137">
        <f>G84</f>
        <v>446</v>
      </c>
      <c r="I82" s="101">
        <v>3.31</v>
      </c>
      <c r="J82" s="137">
        <f>G85+I84</f>
        <v>609</v>
      </c>
      <c r="K82" s="101">
        <v>1.22</v>
      </c>
      <c r="L82" s="18">
        <f>I85+K84</f>
        <v>940</v>
      </c>
      <c r="M82" s="101">
        <v>4.48</v>
      </c>
      <c r="N82" s="27">
        <f>K85+M84</f>
        <v>1116</v>
      </c>
      <c r="O82" s="103">
        <v>2</v>
      </c>
      <c r="P82" s="19" t="s">
        <v>25</v>
      </c>
      <c r="Q82" s="172" t="s">
        <v>380</v>
      </c>
      <c r="R82" s="28">
        <f>M85+Q84</f>
        <v>1502</v>
      </c>
      <c r="S82" s="20"/>
    </row>
    <row r="83" spans="1:19" ht="12" customHeight="1">
      <c r="A83" s="32">
        <v>18</v>
      </c>
      <c r="B83" s="81"/>
      <c r="C83" s="20"/>
      <c r="D83" s="20"/>
      <c r="E83" s="105"/>
      <c r="F83" s="100">
        <v>82</v>
      </c>
      <c r="G83" s="106"/>
      <c r="H83" s="138">
        <f>G84</f>
        <v>446</v>
      </c>
      <c r="I83" s="106"/>
      <c r="J83" s="138">
        <f>G85+I84</f>
        <v>609</v>
      </c>
      <c r="K83" s="18"/>
      <c r="L83" s="18">
        <f>I85+K84</f>
        <v>940</v>
      </c>
      <c r="M83" s="18"/>
      <c r="N83" s="19">
        <f>K85+M84</f>
        <v>1116</v>
      </c>
      <c r="O83" s="18"/>
      <c r="P83" s="18"/>
      <c r="Q83" s="18"/>
      <c r="R83" s="29">
        <f>M85+Q84</f>
        <v>1502</v>
      </c>
      <c r="S83" s="20"/>
    </row>
    <row r="84" spans="1:19" ht="12.75" customHeight="1">
      <c r="A84" s="97"/>
      <c r="B84" s="131"/>
      <c r="C84" s="11" t="s">
        <v>143</v>
      </c>
      <c r="D84" s="95"/>
      <c r="E84" s="108">
        <f>R82</f>
        <v>1502</v>
      </c>
      <c r="F84" s="105">
        <v>83</v>
      </c>
      <c r="G84" s="39">
        <f>IF(G82=0,0,VLOOKUP(G82,'[1]Tables'!$J$3:$K$152,2,TRUE))</f>
        <v>446</v>
      </c>
      <c r="H84" s="138">
        <f>G84</f>
        <v>446</v>
      </c>
      <c r="I84" s="139">
        <f>ROUNDDOWN(0.188807*(100*I82-210)^1.41,0)</f>
        <v>163</v>
      </c>
      <c r="J84" s="138">
        <f>G85+I84</f>
        <v>609</v>
      </c>
      <c r="K84" s="139">
        <f>ROUNDDOWN(1.84523*(100*K82-75)^1.348,0)</f>
        <v>331</v>
      </c>
      <c r="L84" s="18">
        <f>I85+K84</f>
        <v>940</v>
      </c>
      <c r="M84" s="139">
        <f>ROUNDDOWN(56.0211*(M82-1.5)^1.05,0)</f>
        <v>176</v>
      </c>
      <c r="N84" s="19">
        <f>K85+M84</f>
        <v>1116</v>
      </c>
      <c r="O84" s="14"/>
      <c r="P84" s="14"/>
      <c r="Q84" s="140">
        <f>IF(O82+Q82=0,0,TRUNC(0.11193*((254-(O82*60+Q82))^1.88)))</f>
        <v>386</v>
      </c>
      <c r="R84" s="29">
        <f>M85+Q84</f>
        <v>1502</v>
      </c>
      <c r="S84" s="20"/>
    </row>
    <row r="85" spans="1:19" ht="12.75" customHeight="1">
      <c r="A85" s="33"/>
      <c r="B85" s="76"/>
      <c r="C85" s="8"/>
      <c r="D85" s="8"/>
      <c r="E85" s="8"/>
      <c r="F85" s="100">
        <v>84</v>
      </c>
      <c r="G85" s="15">
        <f>G84</f>
        <v>446</v>
      </c>
      <c r="H85" s="141">
        <f>G84</f>
        <v>446</v>
      </c>
      <c r="I85" s="15">
        <f>G85+I84</f>
        <v>609</v>
      </c>
      <c r="J85" s="138">
        <f>G85+I84</f>
        <v>609</v>
      </c>
      <c r="K85" s="15">
        <f>I85+K84</f>
        <v>940</v>
      </c>
      <c r="L85" s="15">
        <f>I85+K84</f>
        <v>940</v>
      </c>
      <c r="M85" s="15">
        <f>K85+M84</f>
        <v>1116</v>
      </c>
      <c r="N85" s="19">
        <f>K85+M84</f>
        <v>1116</v>
      </c>
      <c r="O85" s="15"/>
      <c r="P85" s="15"/>
      <c r="Q85" s="24">
        <f>M85+Q84</f>
        <v>1502</v>
      </c>
      <c r="R85" s="29">
        <f>M85+Q84</f>
        <v>1502</v>
      </c>
      <c r="S85" s="20"/>
    </row>
    <row r="86" spans="1:19" ht="12.75" customHeight="1">
      <c r="A86" s="31"/>
      <c r="B86" s="81"/>
      <c r="C86" s="180">
        <v>735</v>
      </c>
      <c r="D86" s="155" t="s">
        <v>161</v>
      </c>
      <c r="E86" s="156" t="s">
        <v>416</v>
      </c>
      <c r="F86" s="100">
        <v>57</v>
      </c>
      <c r="G86" s="82">
        <v>15</v>
      </c>
      <c r="H86" s="137">
        <f>G88</f>
        <v>327</v>
      </c>
      <c r="I86" s="83">
        <v>3.6</v>
      </c>
      <c r="J86" s="137">
        <f>G89+I88</f>
        <v>547</v>
      </c>
      <c r="K86" s="83">
        <v>1.16</v>
      </c>
      <c r="L86" s="18">
        <f>I89+K88</f>
        <v>822</v>
      </c>
      <c r="M86" s="83">
        <v>6.82</v>
      </c>
      <c r="N86" s="27">
        <f>K89+M88</f>
        <v>1146</v>
      </c>
      <c r="O86" s="88">
        <v>3</v>
      </c>
      <c r="P86" s="7" t="s">
        <v>25</v>
      </c>
      <c r="Q86" s="184" t="s">
        <v>383</v>
      </c>
      <c r="R86" s="28">
        <f>M89+Q88</f>
        <v>1475</v>
      </c>
      <c r="S86" s="20"/>
    </row>
    <row r="87" spans="1:19" ht="12.75" customHeight="1">
      <c r="A87" s="32">
        <v>19</v>
      </c>
      <c r="B87" s="81"/>
      <c r="E87" s="10"/>
      <c r="F87" s="100">
        <v>58</v>
      </c>
      <c r="G87" s="85"/>
      <c r="H87" s="138">
        <f>G88</f>
        <v>327</v>
      </c>
      <c r="I87" s="85"/>
      <c r="J87" s="138">
        <f>G89+I88</f>
        <v>547</v>
      </c>
      <c r="K87" s="14"/>
      <c r="L87" s="18">
        <f>I89+K88</f>
        <v>822</v>
      </c>
      <c r="M87" s="14"/>
      <c r="N87" s="19">
        <f>K89+M88</f>
        <v>1146</v>
      </c>
      <c r="O87" s="14"/>
      <c r="P87" s="14"/>
      <c r="Q87" s="14"/>
      <c r="R87" s="29">
        <f>M89+Q88</f>
        <v>1475</v>
      </c>
      <c r="S87" s="20"/>
    </row>
    <row r="88" spans="1:19" ht="12.75" customHeight="1">
      <c r="A88" s="32"/>
      <c r="B88" s="131"/>
      <c r="C88" s="95" t="s">
        <v>57</v>
      </c>
      <c r="D88" s="11"/>
      <c r="E88" s="25">
        <f>R86</f>
        <v>1475</v>
      </c>
      <c r="F88" s="105">
        <v>59</v>
      </c>
      <c r="G88" s="39">
        <f>IF(G86=0,0,VLOOKUP(G86,'[1]Tables'!$J$3:$K$152,2,TRUE))</f>
        <v>327</v>
      </c>
      <c r="H88" s="138">
        <f>G88</f>
        <v>327</v>
      </c>
      <c r="I88" s="139">
        <f>ROUNDDOWN(0.188807*(100*I86-210)^1.41,0)</f>
        <v>220</v>
      </c>
      <c r="J88" s="138">
        <f>G89+I88</f>
        <v>547</v>
      </c>
      <c r="K88" s="139">
        <f>ROUNDDOWN(1.84523*(100*K86-75)^1.348,0)</f>
        <v>275</v>
      </c>
      <c r="L88" s="18">
        <f>I89+K88</f>
        <v>822</v>
      </c>
      <c r="M88" s="139">
        <f>ROUNDDOWN(56.0211*(M86-1.5)^1.05,0)</f>
        <v>324</v>
      </c>
      <c r="N88" s="19">
        <f>K89+M88</f>
        <v>1146</v>
      </c>
      <c r="O88" s="14"/>
      <c r="P88" s="14"/>
      <c r="Q88" s="140">
        <f>IF(O86+Q86=0,0,TRUNC(0.11193*((254-(O86*60+Q86))^1.88)))</f>
        <v>329</v>
      </c>
      <c r="R88" s="29">
        <f>M89+Q88</f>
        <v>1475</v>
      </c>
      <c r="S88" s="20"/>
    </row>
    <row r="89" spans="1:19" ht="12.75" customHeight="1">
      <c r="A89" s="33"/>
      <c r="B89" s="76"/>
      <c r="C89" s="8"/>
      <c r="D89" s="8"/>
      <c r="E89" s="8"/>
      <c r="F89" s="100">
        <v>60</v>
      </c>
      <c r="G89" s="15">
        <f>G88</f>
        <v>327</v>
      </c>
      <c r="H89" s="141">
        <f>G88</f>
        <v>327</v>
      </c>
      <c r="I89" s="15">
        <f>G89+I88</f>
        <v>547</v>
      </c>
      <c r="J89" s="138">
        <f>G89+I88</f>
        <v>547</v>
      </c>
      <c r="K89" s="15">
        <f>I89+K88</f>
        <v>822</v>
      </c>
      <c r="L89" s="15">
        <f>I89+K88</f>
        <v>822</v>
      </c>
      <c r="M89" s="15">
        <f>K89+M88</f>
        <v>1146</v>
      </c>
      <c r="N89" s="19">
        <f>K89+M88</f>
        <v>1146</v>
      </c>
      <c r="O89" s="15"/>
      <c r="P89" s="15"/>
      <c r="Q89" s="24">
        <f>M89+Q88</f>
        <v>1475</v>
      </c>
      <c r="R89" s="29">
        <f>M89+Q88</f>
        <v>1475</v>
      </c>
      <c r="S89" s="20"/>
    </row>
    <row r="90" spans="1:19" ht="12.75" customHeight="1">
      <c r="A90" s="31"/>
      <c r="B90" s="81"/>
      <c r="C90" s="180">
        <v>724</v>
      </c>
      <c r="D90" s="155" t="s">
        <v>153</v>
      </c>
      <c r="E90" s="156" t="s">
        <v>417</v>
      </c>
      <c r="F90" s="100">
        <v>13</v>
      </c>
      <c r="G90" s="82">
        <v>14.7</v>
      </c>
      <c r="H90" s="137">
        <f>G92</f>
        <v>348</v>
      </c>
      <c r="I90" s="101">
        <v>3.37</v>
      </c>
      <c r="J90" s="137">
        <f>G93+I92</f>
        <v>522</v>
      </c>
      <c r="K90" s="101">
        <v>1.13</v>
      </c>
      <c r="L90" s="18">
        <f>I93+K92</f>
        <v>770</v>
      </c>
      <c r="M90" s="101">
        <v>6.22</v>
      </c>
      <c r="N90" s="27">
        <f>K93+M92</f>
        <v>1055</v>
      </c>
      <c r="O90" s="103">
        <v>3</v>
      </c>
      <c r="P90" s="19" t="s">
        <v>25</v>
      </c>
      <c r="Q90" s="172" t="s">
        <v>384</v>
      </c>
      <c r="R90" s="28">
        <f>M93+Q92</f>
        <v>1311</v>
      </c>
      <c r="S90" s="20"/>
    </row>
    <row r="91" spans="1:19" ht="12" customHeight="1">
      <c r="A91" s="32">
        <v>20</v>
      </c>
      <c r="B91" s="81"/>
      <c r="C91" s="20"/>
      <c r="D91" s="20"/>
      <c r="E91" s="105"/>
      <c r="F91" s="105">
        <v>14</v>
      </c>
      <c r="G91" s="85"/>
      <c r="H91" s="138">
        <f>G92</f>
        <v>348</v>
      </c>
      <c r="I91" s="106"/>
      <c r="J91" s="138">
        <f>G93+I92</f>
        <v>522</v>
      </c>
      <c r="K91" s="18"/>
      <c r="L91" s="18">
        <f>I93+K92</f>
        <v>770</v>
      </c>
      <c r="M91" s="18"/>
      <c r="N91" s="19">
        <f>K93+M92</f>
        <v>1055</v>
      </c>
      <c r="O91" s="18"/>
      <c r="P91" s="18"/>
      <c r="Q91" s="18"/>
      <c r="R91" s="29">
        <f>M93+Q92</f>
        <v>1311</v>
      </c>
      <c r="S91" s="20"/>
    </row>
    <row r="92" spans="1:19" ht="12.75" customHeight="1">
      <c r="A92" s="97"/>
      <c r="B92" s="131"/>
      <c r="C92" s="11" t="s">
        <v>103</v>
      </c>
      <c r="D92" s="11"/>
      <c r="E92" s="25">
        <f>R90</f>
        <v>1311</v>
      </c>
      <c r="F92" s="100">
        <v>15</v>
      </c>
      <c r="G92" s="39">
        <f>IF(G90=0,0,VLOOKUP(G90,'[1]Tables'!$J$3:$K$152,2,TRUE))</f>
        <v>348</v>
      </c>
      <c r="H92" s="138">
        <f>G92</f>
        <v>348</v>
      </c>
      <c r="I92" s="139">
        <f>ROUNDDOWN(0.188807*(100*I90-210)^1.41,0)</f>
        <v>174</v>
      </c>
      <c r="J92" s="138">
        <f>G93+I92</f>
        <v>522</v>
      </c>
      <c r="K92" s="139">
        <f>ROUNDDOWN(1.84523*(100*K90-75)^1.348,0)</f>
        <v>248</v>
      </c>
      <c r="L92" s="18">
        <f>I93+K92</f>
        <v>770</v>
      </c>
      <c r="M92" s="139">
        <f>ROUNDDOWN(56.0211*(M90-1.5)^1.05,0)</f>
        <v>285</v>
      </c>
      <c r="N92" s="19">
        <f>K93+M92</f>
        <v>1055</v>
      </c>
      <c r="O92" s="14"/>
      <c r="P92" s="14"/>
      <c r="Q92" s="140">
        <f>IF(O90+Q90=0,0,TRUNC(0.11193*((254-(O90*60+Q90))^1.88)))</f>
        <v>256</v>
      </c>
      <c r="R92" s="29">
        <f>M93+Q92</f>
        <v>1311</v>
      </c>
      <c r="S92" s="20"/>
    </row>
    <row r="93" spans="1:19" ht="12.75" customHeight="1">
      <c r="A93" s="33"/>
      <c r="B93" s="76"/>
      <c r="C93" s="8"/>
      <c r="D93" s="8"/>
      <c r="E93" s="8"/>
      <c r="F93" s="100">
        <v>16</v>
      </c>
      <c r="G93" s="15">
        <f>G92</f>
        <v>348</v>
      </c>
      <c r="H93" s="141">
        <f>G92</f>
        <v>348</v>
      </c>
      <c r="I93" s="15">
        <f>G93+I92</f>
        <v>522</v>
      </c>
      <c r="J93" s="138">
        <f>G93+I92</f>
        <v>522</v>
      </c>
      <c r="K93" s="15">
        <f>I93+K92</f>
        <v>770</v>
      </c>
      <c r="L93" s="15">
        <f>I93+K92</f>
        <v>770</v>
      </c>
      <c r="M93" s="15">
        <f>K93+M92</f>
        <v>1055</v>
      </c>
      <c r="N93" s="19">
        <f>K93+M92</f>
        <v>1055</v>
      </c>
      <c r="O93" s="15"/>
      <c r="P93" s="15"/>
      <c r="Q93" s="24">
        <f>M93+Q92</f>
        <v>1311</v>
      </c>
      <c r="R93" s="29">
        <f>M93+Q92</f>
        <v>1311</v>
      </c>
      <c r="S93" s="113"/>
    </row>
    <row r="94" spans="1:19" ht="12.75" customHeight="1">
      <c r="A94" s="31"/>
      <c r="B94" s="73"/>
      <c r="C94" s="180">
        <v>736</v>
      </c>
      <c r="D94" s="155" t="s">
        <v>162</v>
      </c>
      <c r="E94" s="156" t="s">
        <v>418</v>
      </c>
      <c r="F94" s="100">
        <v>61</v>
      </c>
      <c r="G94" s="102">
        <v>14</v>
      </c>
      <c r="H94" s="137">
        <f>G96</f>
        <v>399</v>
      </c>
      <c r="I94" s="101">
        <v>3.23</v>
      </c>
      <c r="J94" s="137">
        <f>G97+I96</f>
        <v>547</v>
      </c>
      <c r="K94" s="101">
        <v>1.16</v>
      </c>
      <c r="L94" s="18">
        <f>I97+K96</f>
        <v>822</v>
      </c>
      <c r="M94" s="101">
        <v>4.86</v>
      </c>
      <c r="N94" s="27">
        <f>K97+M96</f>
        <v>1021</v>
      </c>
      <c r="O94" s="103">
        <v>3</v>
      </c>
      <c r="P94" s="19" t="s">
        <v>25</v>
      </c>
      <c r="Q94" s="172" t="s">
        <v>386</v>
      </c>
      <c r="R94" s="28">
        <f>M97+Q96</f>
        <v>1216</v>
      </c>
      <c r="S94" s="20"/>
    </row>
    <row r="95" spans="1:19" ht="12" customHeight="1">
      <c r="A95" s="32">
        <v>21</v>
      </c>
      <c r="B95" s="74"/>
      <c r="C95" s="20"/>
      <c r="D95" s="20"/>
      <c r="E95" s="105"/>
      <c r="F95" s="105">
        <v>62</v>
      </c>
      <c r="G95" s="106"/>
      <c r="H95" s="138">
        <f>G96</f>
        <v>399</v>
      </c>
      <c r="I95" s="106"/>
      <c r="J95" s="138">
        <f>G97+I96</f>
        <v>547</v>
      </c>
      <c r="K95" s="18"/>
      <c r="L95" s="18">
        <f>I97+K96</f>
        <v>822</v>
      </c>
      <c r="M95" s="18"/>
      <c r="N95" s="19">
        <f>K97+M96</f>
        <v>1021</v>
      </c>
      <c r="O95" s="18"/>
      <c r="P95" s="18"/>
      <c r="Q95" s="18"/>
      <c r="R95" s="29">
        <f>M97+Q96</f>
        <v>1216</v>
      </c>
      <c r="S95" s="20"/>
    </row>
    <row r="96" spans="1:19" ht="12.75" customHeight="1">
      <c r="A96" s="32"/>
      <c r="B96" s="176"/>
      <c r="C96" s="95" t="s">
        <v>57</v>
      </c>
      <c r="D96" s="11"/>
      <c r="E96" s="25">
        <f>R94</f>
        <v>1216</v>
      </c>
      <c r="F96" s="100">
        <v>63</v>
      </c>
      <c r="G96" s="39">
        <f>IF(G94=0,0,VLOOKUP(G94,'[1]Tables'!$J$3:$K$152,2,TRUE))</f>
        <v>399</v>
      </c>
      <c r="H96" s="138">
        <f>G96</f>
        <v>399</v>
      </c>
      <c r="I96" s="139">
        <f>ROUNDDOWN(0.188807*(100*I94-210)^1.41,0)</f>
        <v>148</v>
      </c>
      <c r="J96" s="138">
        <f>G97+I96</f>
        <v>547</v>
      </c>
      <c r="K96" s="139">
        <f>ROUNDDOWN(1.84523*(100*K94-75)^1.348,0)</f>
        <v>275</v>
      </c>
      <c r="L96" s="18">
        <f>I97+K96</f>
        <v>822</v>
      </c>
      <c r="M96" s="139">
        <f>ROUNDDOWN(56.0211*(M94-1.5)^1.05,0)</f>
        <v>199</v>
      </c>
      <c r="N96" s="19">
        <f>K97+M96</f>
        <v>1021</v>
      </c>
      <c r="O96" s="14"/>
      <c r="P96" s="14"/>
      <c r="Q96" s="140">
        <f>IF(O94+Q94=0,0,TRUNC(0.11193*((254-(O94*60+Q94))^1.88)))</f>
        <v>195</v>
      </c>
      <c r="R96" s="29">
        <f>M97+Q96</f>
        <v>1216</v>
      </c>
      <c r="S96" s="20"/>
    </row>
    <row r="97" spans="1:19" ht="12.75" customHeight="1">
      <c r="A97" s="33"/>
      <c r="B97" s="76"/>
      <c r="C97" s="8"/>
      <c r="D97" s="8"/>
      <c r="E97" s="8"/>
      <c r="F97" s="100">
        <v>64</v>
      </c>
      <c r="G97" s="15">
        <f>G96</f>
        <v>399</v>
      </c>
      <c r="H97" s="141">
        <f>G96</f>
        <v>399</v>
      </c>
      <c r="I97" s="15">
        <f>G97+I96</f>
        <v>547</v>
      </c>
      <c r="J97" s="138">
        <f>G97+I96</f>
        <v>547</v>
      </c>
      <c r="K97" s="15">
        <f>I97+K96</f>
        <v>822</v>
      </c>
      <c r="L97" s="15">
        <f>I97+K96</f>
        <v>822</v>
      </c>
      <c r="M97" s="15">
        <f>K97+M96</f>
        <v>1021</v>
      </c>
      <c r="N97" s="19">
        <f>K97+M96</f>
        <v>1021</v>
      </c>
      <c r="O97" s="15"/>
      <c r="P97" s="15"/>
      <c r="Q97" s="24">
        <f>M97+Q96</f>
        <v>1216</v>
      </c>
      <c r="R97" s="29">
        <f>M97+Q96</f>
        <v>1216</v>
      </c>
      <c r="S97" s="20"/>
    </row>
    <row r="98" spans="1:19" ht="12.75" customHeight="1">
      <c r="A98" s="31"/>
      <c r="B98" s="81"/>
      <c r="C98" s="180">
        <v>732</v>
      </c>
      <c r="D98" s="155" t="s">
        <v>159</v>
      </c>
      <c r="E98" s="156" t="s">
        <v>419</v>
      </c>
      <c r="F98" s="100">
        <v>45</v>
      </c>
      <c r="G98" s="82">
        <v>15.5</v>
      </c>
      <c r="H98" s="137">
        <f>G100</f>
        <v>294</v>
      </c>
      <c r="I98" s="83">
        <v>3.26</v>
      </c>
      <c r="J98" s="137">
        <f>G101+I100</f>
        <v>447</v>
      </c>
      <c r="K98" s="83">
        <v>1.16</v>
      </c>
      <c r="L98" s="18">
        <f>I101+K100</f>
        <v>722</v>
      </c>
      <c r="M98" s="83">
        <v>5.42</v>
      </c>
      <c r="N98" s="19">
        <f>K101+M100</f>
        <v>957</v>
      </c>
      <c r="O98" s="88">
        <v>3</v>
      </c>
      <c r="P98" s="7" t="s">
        <v>25</v>
      </c>
      <c r="Q98" s="184" t="s">
        <v>385</v>
      </c>
      <c r="R98" s="29">
        <f>M101+Q100</f>
        <v>1195</v>
      </c>
      <c r="S98" s="20"/>
    </row>
    <row r="99" spans="1:19" ht="12" customHeight="1">
      <c r="A99" s="32">
        <v>22</v>
      </c>
      <c r="B99" s="81"/>
      <c r="E99" s="25"/>
      <c r="F99" s="100">
        <v>46</v>
      </c>
      <c r="G99" s="85"/>
      <c r="H99" s="138">
        <f>G100</f>
        <v>294</v>
      </c>
      <c r="I99" s="85"/>
      <c r="J99" s="138">
        <f>G101+I100</f>
        <v>447</v>
      </c>
      <c r="K99" s="14"/>
      <c r="L99" s="18">
        <f>I101+K100</f>
        <v>722</v>
      </c>
      <c r="M99" s="14"/>
      <c r="N99" s="19">
        <f>K101+M100</f>
        <v>957</v>
      </c>
      <c r="O99" s="14"/>
      <c r="P99" s="14"/>
      <c r="Q99" s="14"/>
      <c r="R99" s="29">
        <f>M101+Q100</f>
        <v>1195</v>
      </c>
      <c r="S99" s="20"/>
    </row>
    <row r="100" spans="1:19" ht="12.75" customHeight="1">
      <c r="A100" s="97"/>
      <c r="B100" s="131"/>
      <c r="C100" s="95" t="s">
        <v>179</v>
      </c>
      <c r="D100" s="95"/>
      <c r="E100" s="25">
        <f>R98</f>
        <v>1195</v>
      </c>
      <c r="F100" s="105">
        <v>47</v>
      </c>
      <c r="G100" s="39">
        <f>IF(G98=0,0,VLOOKUP(G98,'[1]Tables'!$J$3:$K$152,2,TRUE))</f>
        <v>294</v>
      </c>
      <c r="H100" s="138">
        <f>G100</f>
        <v>294</v>
      </c>
      <c r="I100" s="139">
        <f>ROUNDDOWN(0.188807*(100*I98-210)^1.41,0)</f>
        <v>153</v>
      </c>
      <c r="J100" s="138">
        <f>G101+I100</f>
        <v>447</v>
      </c>
      <c r="K100" s="139">
        <f>ROUNDDOWN(1.84523*(100*K98-75)^1.348,0)</f>
        <v>275</v>
      </c>
      <c r="L100" s="18">
        <f>I101+K100</f>
        <v>722</v>
      </c>
      <c r="M100" s="139">
        <f>ROUNDDOWN(56.0211*(M98-1.5)^1.05,0)</f>
        <v>235</v>
      </c>
      <c r="N100" s="19">
        <f>K101+M100</f>
        <v>957</v>
      </c>
      <c r="O100" s="18"/>
      <c r="P100" s="18"/>
      <c r="Q100" s="140">
        <f>IF(O98+Q98=0,0,TRUNC(0.11193*((254-(O98*60+Q98))^1.88)))</f>
        <v>238</v>
      </c>
      <c r="R100" s="29">
        <f>M101+Q100</f>
        <v>1195</v>
      </c>
      <c r="S100" s="20"/>
    </row>
    <row r="101" spans="1:19" ht="12.75" customHeight="1">
      <c r="A101" s="33"/>
      <c r="B101" s="76"/>
      <c r="C101" s="8"/>
      <c r="D101" s="8"/>
      <c r="E101" s="8"/>
      <c r="F101" s="100">
        <v>48</v>
      </c>
      <c r="G101" s="15">
        <f>G100</f>
        <v>294</v>
      </c>
      <c r="H101" s="141">
        <f>G100</f>
        <v>294</v>
      </c>
      <c r="I101" s="15">
        <f>G101+I100</f>
        <v>447</v>
      </c>
      <c r="J101" s="138">
        <f>G101+I100</f>
        <v>447</v>
      </c>
      <c r="K101" s="15">
        <f>I101+K100</f>
        <v>722</v>
      </c>
      <c r="L101" s="18">
        <f>I101+K100</f>
        <v>722</v>
      </c>
      <c r="M101" s="15">
        <f>K101+M100</f>
        <v>957</v>
      </c>
      <c r="N101" s="19">
        <f>K101+M100</f>
        <v>957</v>
      </c>
      <c r="O101" s="15"/>
      <c r="P101" s="15"/>
      <c r="Q101" s="24">
        <f>M101+Q100</f>
        <v>1195</v>
      </c>
      <c r="R101" s="29">
        <f>M101+Q100</f>
        <v>1195</v>
      </c>
      <c r="S101" s="20"/>
    </row>
    <row r="102" spans="1:18" ht="12.75" customHeight="1">
      <c r="A102" s="31"/>
      <c r="B102" s="81"/>
      <c r="C102" s="180">
        <v>748</v>
      </c>
      <c r="D102" s="155" t="s">
        <v>174</v>
      </c>
      <c r="E102" s="156" t="s">
        <v>420</v>
      </c>
      <c r="F102" s="100">
        <v>109</v>
      </c>
      <c r="G102" s="102">
        <v>16.5</v>
      </c>
      <c r="H102" s="137">
        <f>G104</f>
        <v>234</v>
      </c>
      <c r="I102" s="101">
        <v>2.89</v>
      </c>
      <c r="J102" s="137">
        <f>G105+I104</f>
        <v>323</v>
      </c>
      <c r="K102" s="101">
        <v>1.1</v>
      </c>
      <c r="L102" s="18">
        <v>383</v>
      </c>
      <c r="M102" s="101">
        <v>4.22</v>
      </c>
      <c r="N102" s="27">
        <f>K105+M104</f>
        <v>705</v>
      </c>
      <c r="O102" s="103">
        <v>2</v>
      </c>
      <c r="P102" s="19" t="s">
        <v>25</v>
      </c>
      <c r="Q102" s="172" t="s">
        <v>376</v>
      </c>
      <c r="R102" s="28">
        <f>M105+Q104</f>
        <v>1149</v>
      </c>
    </row>
    <row r="103" spans="1:18" ht="12" customHeight="1">
      <c r="A103" s="32">
        <v>23</v>
      </c>
      <c r="B103" s="79"/>
      <c r="C103" s="20"/>
      <c r="D103" s="20"/>
      <c r="E103" s="105"/>
      <c r="F103" s="105">
        <v>110</v>
      </c>
      <c r="G103" s="106"/>
      <c r="H103" s="138">
        <f>G104</f>
        <v>234</v>
      </c>
      <c r="I103" s="106"/>
      <c r="J103" s="138">
        <f>G105+I104</f>
        <v>323</v>
      </c>
      <c r="K103" s="18"/>
      <c r="L103" s="18">
        <v>383</v>
      </c>
      <c r="M103" s="18"/>
      <c r="N103" s="19">
        <f>K105+M104</f>
        <v>705</v>
      </c>
      <c r="O103" s="18"/>
      <c r="P103" s="18"/>
      <c r="Q103" s="18"/>
      <c r="R103" s="29">
        <f>M105+Q104</f>
        <v>1149</v>
      </c>
    </row>
    <row r="104" spans="1:18" ht="12.75" customHeight="1">
      <c r="A104" s="32"/>
      <c r="B104" s="131"/>
      <c r="C104" s="11" t="s">
        <v>128</v>
      </c>
      <c r="E104" s="25">
        <f>R102</f>
        <v>1149</v>
      </c>
      <c r="F104" s="100">
        <v>111</v>
      </c>
      <c r="G104" s="39">
        <f>IF(G102=0,0,VLOOKUP(G102,'[1]Tables'!$J$3:$K$152,2,TRUE))</f>
        <v>234</v>
      </c>
      <c r="H104" s="138">
        <f>G104</f>
        <v>234</v>
      </c>
      <c r="I104" s="139">
        <f>ROUNDDOWN(0.188807*(100*I102-210)^1.41,0)</f>
        <v>89</v>
      </c>
      <c r="J104" s="138">
        <f>G105+I104</f>
        <v>323</v>
      </c>
      <c r="K104" s="139">
        <f>ROUNDDOWN(1.84523*(100*K102-75)^1.348,0)</f>
        <v>222</v>
      </c>
      <c r="L104" s="18">
        <v>383</v>
      </c>
      <c r="M104" s="139">
        <f>ROUNDDOWN(56.0211*(M102-1.5)^1.05,0)</f>
        <v>160</v>
      </c>
      <c r="N104" s="19">
        <f>K105+M104</f>
        <v>705</v>
      </c>
      <c r="O104" s="14"/>
      <c r="P104" s="14"/>
      <c r="Q104" s="140">
        <f>IF(O102+Q102=0,0,TRUNC(0.11193*((254-(O102*60+Q102))^1.88)))</f>
        <v>444</v>
      </c>
      <c r="R104" s="29">
        <f>M105+Q104</f>
        <v>1149</v>
      </c>
    </row>
    <row r="105" spans="1:18" ht="12.75" customHeight="1">
      <c r="A105" s="33"/>
      <c r="B105" s="76"/>
      <c r="C105" s="8"/>
      <c r="D105" s="8"/>
      <c r="E105" s="8"/>
      <c r="F105" s="100">
        <v>112</v>
      </c>
      <c r="G105" s="15">
        <f>G104</f>
        <v>234</v>
      </c>
      <c r="H105" s="141">
        <f>G104</f>
        <v>234</v>
      </c>
      <c r="I105" s="15">
        <f>G105+I104</f>
        <v>323</v>
      </c>
      <c r="J105" s="138">
        <f>G105+I104</f>
        <v>323</v>
      </c>
      <c r="K105" s="15">
        <f>I105+K104</f>
        <v>545</v>
      </c>
      <c r="L105" s="15">
        <v>383</v>
      </c>
      <c r="M105" s="15">
        <f>K105+M104</f>
        <v>705</v>
      </c>
      <c r="N105" s="19">
        <f>K105+M104</f>
        <v>705</v>
      </c>
      <c r="O105" s="15"/>
      <c r="P105" s="15"/>
      <c r="Q105" s="24">
        <f>M105+Q104</f>
        <v>1149</v>
      </c>
      <c r="R105" s="29">
        <f>M105+Q104</f>
        <v>1149</v>
      </c>
    </row>
    <row r="106" spans="1:18" ht="12.75" customHeight="1">
      <c r="A106" s="31"/>
      <c r="B106" s="73"/>
      <c r="C106" s="181">
        <v>731</v>
      </c>
      <c r="D106" s="130" t="s">
        <v>158</v>
      </c>
      <c r="E106" s="145" t="s">
        <v>421</v>
      </c>
      <c r="F106" s="105">
        <v>41</v>
      </c>
      <c r="G106" s="82">
        <v>13.5</v>
      </c>
      <c r="H106" s="137">
        <f>G108</f>
        <v>438</v>
      </c>
      <c r="I106" s="83">
        <v>3.8</v>
      </c>
      <c r="J106" s="137">
        <f>G109+I108</f>
        <v>701</v>
      </c>
      <c r="K106" s="83">
        <v>1.19</v>
      </c>
      <c r="L106" s="18">
        <f>I109+K108</f>
        <v>1003</v>
      </c>
      <c r="M106" s="194" t="s">
        <v>331</v>
      </c>
      <c r="N106" s="27">
        <f>K109+M108</f>
        <v>1003</v>
      </c>
      <c r="O106" s="88"/>
      <c r="P106" s="7" t="s">
        <v>25</v>
      </c>
      <c r="Q106" s="184"/>
      <c r="R106" s="28">
        <f>M109+Q108</f>
        <v>1003</v>
      </c>
    </row>
    <row r="107" spans="1:18" ht="12" customHeight="1">
      <c r="A107" s="32">
        <v>24</v>
      </c>
      <c r="B107" s="74"/>
      <c r="C107" s="20"/>
      <c r="D107" s="20"/>
      <c r="E107" s="105"/>
      <c r="F107" s="100">
        <v>42</v>
      </c>
      <c r="G107" s="85"/>
      <c r="H107" s="138">
        <f>G108</f>
        <v>438</v>
      </c>
      <c r="I107" s="106"/>
      <c r="J107" s="138">
        <f>G109+I108</f>
        <v>701</v>
      </c>
      <c r="K107" s="18"/>
      <c r="L107" s="18">
        <f>I109+K108</f>
        <v>1003</v>
      </c>
      <c r="M107" s="18"/>
      <c r="N107" s="19">
        <f>K109+M108</f>
        <v>1003</v>
      </c>
      <c r="O107" s="18"/>
      <c r="P107" s="18"/>
      <c r="Q107" s="18"/>
      <c r="R107" s="29">
        <f>M109+Q108</f>
        <v>1003</v>
      </c>
    </row>
    <row r="108" spans="1:18" ht="12.75" customHeight="1">
      <c r="A108" s="97"/>
      <c r="C108" s="95" t="s">
        <v>179</v>
      </c>
      <c r="D108" s="95"/>
      <c r="E108" s="108">
        <f>R106</f>
        <v>1003</v>
      </c>
      <c r="F108" s="100">
        <v>43</v>
      </c>
      <c r="G108" s="39">
        <f>IF(G106=0,0,VLOOKUP(G106,'[1]Tables'!$J$3:$K$152,2,TRUE))</f>
        <v>438</v>
      </c>
      <c r="H108" s="138">
        <f>G108</f>
        <v>438</v>
      </c>
      <c r="I108" s="139">
        <f>ROUNDDOWN(0.188807*(100*I106-210)^1.41,0)</f>
        <v>263</v>
      </c>
      <c r="J108" s="138">
        <f>G109+I108</f>
        <v>701</v>
      </c>
      <c r="K108" s="139">
        <f>ROUNDDOWN(1.84523*(100*K106-75)^1.348,0)</f>
        <v>302</v>
      </c>
      <c r="L108" s="18">
        <f>I109+K108</f>
        <v>1003</v>
      </c>
      <c r="M108" s="139">
        <v>0</v>
      </c>
      <c r="N108" s="19">
        <f>K109+M108</f>
        <v>1003</v>
      </c>
      <c r="O108" s="18"/>
      <c r="P108" s="18"/>
      <c r="Q108" s="140">
        <f>IF(O106+Q106=0,0,TRUNC(0.11193*((254-(O106*60+Q106))^1.88)))</f>
        <v>0</v>
      </c>
      <c r="R108" s="29">
        <f>M109+Q108</f>
        <v>1003</v>
      </c>
    </row>
    <row r="109" spans="1:18" ht="12.75" customHeight="1">
      <c r="A109" s="33"/>
      <c r="B109" s="76"/>
      <c r="C109" s="8"/>
      <c r="D109" s="8"/>
      <c r="E109" s="8"/>
      <c r="F109" s="105">
        <v>44</v>
      </c>
      <c r="G109" s="15">
        <f>G108</f>
        <v>438</v>
      </c>
      <c r="H109" s="141">
        <f>G108</f>
        <v>438</v>
      </c>
      <c r="I109" s="15">
        <f>G109+I108</f>
        <v>701</v>
      </c>
      <c r="J109" s="138">
        <f>G109+I108</f>
        <v>701</v>
      </c>
      <c r="K109" s="15">
        <f>I109+K108</f>
        <v>1003</v>
      </c>
      <c r="L109" s="15">
        <f>I109+K108</f>
        <v>1003</v>
      </c>
      <c r="M109" s="15">
        <f>K109+M108</f>
        <v>1003</v>
      </c>
      <c r="N109" s="19">
        <f>K109+M108</f>
        <v>1003</v>
      </c>
      <c r="O109" s="15"/>
      <c r="P109" s="15"/>
      <c r="Q109" s="24">
        <f>M109+Q108</f>
        <v>1003</v>
      </c>
      <c r="R109" s="29">
        <f>M109+Q108</f>
        <v>1003</v>
      </c>
    </row>
    <row r="110" spans="1:18" ht="12.75" customHeight="1">
      <c r="A110" s="31"/>
      <c r="B110" s="81"/>
      <c r="C110" s="180">
        <v>721</v>
      </c>
      <c r="D110" s="155" t="s">
        <v>140</v>
      </c>
      <c r="E110" s="156" t="s">
        <v>422</v>
      </c>
      <c r="F110" s="100">
        <v>1</v>
      </c>
      <c r="G110" s="102">
        <v>17.5</v>
      </c>
      <c r="H110" s="137">
        <f>G112</f>
        <v>180</v>
      </c>
      <c r="I110" s="101">
        <v>2.71</v>
      </c>
      <c r="J110" s="137">
        <f>G113+I112</f>
        <v>242</v>
      </c>
      <c r="K110" s="101">
        <v>1.13</v>
      </c>
      <c r="L110" s="18">
        <f>I113+K112</f>
        <v>490</v>
      </c>
      <c r="M110" s="101">
        <v>3.58</v>
      </c>
      <c r="N110" s="27">
        <f>K113+M112</f>
        <v>610</v>
      </c>
      <c r="O110" s="103">
        <v>2</v>
      </c>
      <c r="P110" s="19" t="s">
        <v>25</v>
      </c>
      <c r="Q110" s="172" t="s">
        <v>378</v>
      </c>
      <c r="R110" s="28">
        <f>M113+Q112</f>
        <v>1002</v>
      </c>
    </row>
    <row r="111" spans="1:18" ht="12" customHeight="1">
      <c r="A111" s="32">
        <v>25</v>
      </c>
      <c r="B111" s="81"/>
      <c r="C111" s="20"/>
      <c r="D111" s="20"/>
      <c r="E111" s="105"/>
      <c r="F111" s="105">
        <v>2</v>
      </c>
      <c r="G111" s="106"/>
      <c r="H111" s="138">
        <f>G112</f>
        <v>180</v>
      </c>
      <c r="I111" s="106"/>
      <c r="J111" s="138">
        <f>G113+I112</f>
        <v>242</v>
      </c>
      <c r="K111" s="18"/>
      <c r="L111" s="18">
        <f>I113+K112</f>
        <v>490</v>
      </c>
      <c r="M111" s="18"/>
      <c r="N111" s="19">
        <f>K113+M112</f>
        <v>610</v>
      </c>
      <c r="O111" s="18"/>
      <c r="P111" s="18"/>
      <c r="Q111" s="18"/>
      <c r="R111" s="29">
        <f>M113+Q112</f>
        <v>1002</v>
      </c>
    </row>
    <row r="112" spans="1:18" ht="12.75" customHeight="1">
      <c r="A112" s="32"/>
      <c r="B112" s="131"/>
      <c r="C112" s="95" t="s">
        <v>175</v>
      </c>
      <c r="D112" s="11"/>
      <c r="E112" s="25">
        <f>R110</f>
        <v>1002</v>
      </c>
      <c r="F112" s="100">
        <v>3</v>
      </c>
      <c r="G112" s="39">
        <f>IF(G110=0,0,VLOOKUP(G110,'[1]Tables'!$J$3:$K$152,2,TRUE))</f>
        <v>180</v>
      </c>
      <c r="H112" s="138">
        <f>G112</f>
        <v>180</v>
      </c>
      <c r="I112" s="139">
        <f>ROUNDDOWN(0.188807*(100*I110-210)^1.41,0)</f>
        <v>62</v>
      </c>
      <c r="J112" s="138">
        <f>G113+I112</f>
        <v>242</v>
      </c>
      <c r="K112" s="139">
        <f>ROUNDDOWN(1.84523*(100*K110-75)^1.348,0)</f>
        <v>248</v>
      </c>
      <c r="L112" s="18">
        <f>I113+K112</f>
        <v>490</v>
      </c>
      <c r="M112" s="139">
        <f>ROUNDDOWN(56.0211*(M110-1.5)^1.05,0)</f>
        <v>120</v>
      </c>
      <c r="N112" s="19">
        <f>K113+M112</f>
        <v>610</v>
      </c>
      <c r="O112" s="14"/>
      <c r="P112" s="14"/>
      <c r="Q112" s="140">
        <f>IF(O110+Q110=0,0,TRUNC(0.11193*((254-(O110*60+Q110))^1.88)))</f>
        <v>392</v>
      </c>
      <c r="R112" s="29">
        <f>M113+Q112</f>
        <v>1002</v>
      </c>
    </row>
    <row r="113" spans="1:18" ht="12.75" customHeight="1">
      <c r="A113" s="33"/>
      <c r="B113" s="76"/>
      <c r="C113" s="8"/>
      <c r="D113" s="8"/>
      <c r="E113" s="8"/>
      <c r="F113" s="100">
        <v>4</v>
      </c>
      <c r="G113" s="15">
        <f>G112</f>
        <v>180</v>
      </c>
      <c r="H113" s="141">
        <f>G112</f>
        <v>180</v>
      </c>
      <c r="I113" s="15">
        <f>G113+I112</f>
        <v>242</v>
      </c>
      <c r="J113" s="138">
        <f>G113+I112</f>
        <v>242</v>
      </c>
      <c r="K113" s="15">
        <f>I113+K112</f>
        <v>490</v>
      </c>
      <c r="L113" s="15">
        <f>I113+K112</f>
        <v>490</v>
      </c>
      <c r="M113" s="15">
        <f>K113+M112</f>
        <v>610</v>
      </c>
      <c r="N113" s="19">
        <f>K113+M112</f>
        <v>610</v>
      </c>
      <c r="O113" s="15"/>
      <c r="P113" s="15"/>
      <c r="Q113" s="24">
        <f>M113+Q112</f>
        <v>1002</v>
      </c>
      <c r="R113" s="29">
        <f>M113+Q112</f>
        <v>1002</v>
      </c>
    </row>
    <row r="114" spans="1:18" ht="12.75" customHeight="1">
      <c r="A114" s="31"/>
      <c r="B114" s="185"/>
      <c r="C114" s="180">
        <v>723</v>
      </c>
      <c r="D114" s="155" t="s">
        <v>152</v>
      </c>
      <c r="E114" s="156" t="s">
        <v>423</v>
      </c>
      <c r="F114" s="100">
        <v>9</v>
      </c>
      <c r="G114" s="82">
        <v>16.1</v>
      </c>
      <c r="H114" s="137">
        <f>G116</f>
        <v>257</v>
      </c>
      <c r="I114" s="194" t="s">
        <v>306</v>
      </c>
      <c r="J114" s="137">
        <f>G117+I116</f>
        <v>257</v>
      </c>
      <c r="K114" s="83">
        <v>1.13</v>
      </c>
      <c r="L114" s="18">
        <f>I117+K116</f>
        <v>505</v>
      </c>
      <c r="M114" s="83">
        <v>4.47</v>
      </c>
      <c r="N114" s="27">
        <f>K117+M116</f>
        <v>680</v>
      </c>
      <c r="O114" s="88">
        <v>3</v>
      </c>
      <c r="P114" s="7" t="s">
        <v>25</v>
      </c>
      <c r="Q114" s="184" t="s">
        <v>387</v>
      </c>
      <c r="R114" s="28">
        <f>M117+Q116</f>
        <v>780</v>
      </c>
    </row>
    <row r="115" spans="1:18" ht="12" customHeight="1">
      <c r="A115" s="32">
        <v>26</v>
      </c>
      <c r="B115" s="147"/>
      <c r="C115" s="20"/>
      <c r="D115" s="20"/>
      <c r="E115" s="105"/>
      <c r="F115" s="100">
        <v>10</v>
      </c>
      <c r="G115" s="85"/>
      <c r="H115" s="138">
        <f>G116</f>
        <v>257</v>
      </c>
      <c r="I115" s="85"/>
      <c r="J115" s="138">
        <f>G117+I116</f>
        <v>257</v>
      </c>
      <c r="K115" s="14"/>
      <c r="L115" s="18">
        <f>I117+K116</f>
        <v>505</v>
      </c>
      <c r="M115" s="14"/>
      <c r="N115" s="19">
        <f>K117+M116</f>
        <v>680</v>
      </c>
      <c r="O115" s="14"/>
      <c r="P115" s="14"/>
      <c r="Q115" s="14"/>
      <c r="R115" s="29">
        <f>M117+Q116</f>
        <v>780</v>
      </c>
    </row>
    <row r="116" spans="1:18" ht="12.75" customHeight="1">
      <c r="A116" s="97"/>
      <c r="B116" s="175"/>
      <c r="C116" s="11" t="s">
        <v>103</v>
      </c>
      <c r="D116" s="95"/>
      <c r="E116" s="108">
        <f>R114</f>
        <v>780</v>
      </c>
      <c r="F116" s="105">
        <v>11</v>
      </c>
      <c r="G116" s="39">
        <f>IF(G114=0,0,VLOOKUP(G114,'[1]Tables'!$J$3:$K$152,2,TRUE))</f>
        <v>257</v>
      </c>
      <c r="H116" s="138">
        <f>G116</f>
        <v>257</v>
      </c>
      <c r="I116" s="139">
        <v>0</v>
      </c>
      <c r="J116" s="138">
        <f>G117+I116</f>
        <v>257</v>
      </c>
      <c r="K116" s="139">
        <f>ROUNDDOWN(1.84523*(100*K114-75)^1.348,0)</f>
        <v>248</v>
      </c>
      <c r="L116" s="18">
        <f>I117+K116</f>
        <v>505</v>
      </c>
      <c r="M116" s="139">
        <f>ROUNDDOWN(56.0211*(M114-1.5)^1.05,0)</f>
        <v>175</v>
      </c>
      <c r="N116" s="19">
        <f>K117+M116</f>
        <v>680</v>
      </c>
      <c r="O116" s="14"/>
      <c r="P116" s="14"/>
      <c r="Q116" s="140">
        <f>IF(O114+Q114=0,0,TRUNC(0.11193*((254-(O114*60+Q114))^1.88)))</f>
        <v>100</v>
      </c>
      <c r="R116" s="29">
        <f>M117+Q116</f>
        <v>780</v>
      </c>
    </row>
    <row r="117" spans="1:18" ht="12.75" customHeight="1">
      <c r="A117" s="33"/>
      <c r="B117" s="76"/>
      <c r="C117" s="8"/>
      <c r="D117" s="8"/>
      <c r="E117" s="8"/>
      <c r="F117" s="100">
        <v>12</v>
      </c>
      <c r="G117" s="15">
        <f>G116</f>
        <v>257</v>
      </c>
      <c r="H117" s="141">
        <f>G116</f>
        <v>257</v>
      </c>
      <c r="I117" s="15">
        <f>G117+I116</f>
        <v>257</v>
      </c>
      <c r="J117" s="138">
        <f>G117+I116</f>
        <v>257</v>
      </c>
      <c r="K117" s="15">
        <f>I117+K116</f>
        <v>505</v>
      </c>
      <c r="L117" s="15">
        <f>I117+K116</f>
        <v>505</v>
      </c>
      <c r="M117" s="15">
        <f>K117+M116</f>
        <v>680</v>
      </c>
      <c r="N117" s="19">
        <f>K117+M116</f>
        <v>680</v>
      </c>
      <c r="O117" s="15"/>
      <c r="P117" s="15"/>
      <c r="Q117" s="24">
        <f>M117+Q116</f>
        <v>780</v>
      </c>
      <c r="R117" s="29">
        <f>M117+Q116</f>
        <v>780</v>
      </c>
    </row>
    <row r="118" spans="1:18" ht="12.75" customHeight="1">
      <c r="A118" s="31"/>
      <c r="B118" s="81"/>
      <c r="C118" s="180"/>
      <c r="D118" s="155"/>
      <c r="E118" s="156"/>
      <c r="F118" s="100"/>
      <c r="G118" s="102"/>
      <c r="H118" s="137"/>
      <c r="I118" s="101"/>
      <c r="J118" s="137"/>
      <c r="K118" s="101"/>
      <c r="L118" s="18"/>
      <c r="M118" s="101"/>
      <c r="N118" s="27"/>
      <c r="O118" s="103"/>
      <c r="P118" s="19"/>
      <c r="Q118" s="172"/>
      <c r="R118" s="28"/>
    </row>
    <row r="119" spans="1:18" ht="12" customHeight="1">
      <c r="A119" s="32"/>
      <c r="B119" s="79"/>
      <c r="C119" s="20"/>
      <c r="D119" s="20"/>
      <c r="E119" s="105"/>
      <c r="F119" s="100"/>
      <c r="G119" s="106"/>
      <c r="H119" s="138"/>
      <c r="I119" s="106"/>
      <c r="J119" s="138"/>
      <c r="K119" s="18"/>
      <c r="L119" s="18"/>
      <c r="M119" s="18"/>
      <c r="N119" s="19"/>
      <c r="O119" s="18"/>
      <c r="P119" s="18"/>
      <c r="Q119" s="18"/>
      <c r="R119" s="29"/>
    </row>
    <row r="120" spans="1:19" ht="12.75" customHeight="1">
      <c r="A120" s="97"/>
      <c r="B120" s="133"/>
      <c r="C120" s="95"/>
      <c r="D120" s="95"/>
      <c r="E120" s="108"/>
      <c r="F120" s="105"/>
      <c r="G120" s="39"/>
      <c r="H120" s="138"/>
      <c r="I120" s="139"/>
      <c r="J120" s="138"/>
      <c r="K120" s="139"/>
      <c r="L120" s="18"/>
      <c r="M120" s="139"/>
      <c r="N120" s="19"/>
      <c r="O120" s="18"/>
      <c r="P120" s="18"/>
      <c r="Q120" s="140"/>
      <c r="R120" s="29"/>
      <c r="S120" s="20"/>
    </row>
    <row r="121" spans="1:19" ht="12.75" customHeight="1">
      <c r="A121" s="97"/>
      <c r="B121" s="73"/>
      <c r="C121" s="20"/>
      <c r="D121" s="20"/>
      <c r="E121" s="20"/>
      <c r="F121" s="100"/>
      <c r="G121" s="18"/>
      <c r="H121" s="138"/>
      <c r="I121" s="18"/>
      <c r="J121" s="138"/>
      <c r="K121" s="18"/>
      <c r="L121" s="18"/>
      <c r="M121" s="18"/>
      <c r="N121" s="19"/>
      <c r="O121" s="18"/>
      <c r="P121" s="18"/>
      <c r="Q121" s="110"/>
      <c r="R121" s="29"/>
      <c r="S121" s="20"/>
    </row>
    <row r="122" spans="1:19" ht="12.75" customHeight="1">
      <c r="A122" s="97"/>
      <c r="B122" s="81"/>
      <c r="C122" s="180"/>
      <c r="D122" s="155"/>
      <c r="E122" s="156"/>
      <c r="F122" s="100"/>
      <c r="G122" s="102"/>
      <c r="H122" s="138"/>
      <c r="I122" s="101"/>
      <c r="J122" s="138"/>
      <c r="K122" s="101"/>
      <c r="L122" s="18"/>
      <c r="M122" s="101"/>
      <c r="N122" s="19"/>
      <c r="O122" s="103"/>
      <c r="P122" s="19"/>
      <c r="Q122" s="172"/>
      <c r="R122" s="29"/>
      <c r="S122" s="20"/>
    </row>
    <row r="123" spans="1:19" ht="12" customHeight="1">
      <c r="A123" s="97"/>
      <c r="B123" s="81"/>
      <c r="C123" s="20"/>
      <c r="D123" s="20"/>
      <c r="E123" s="105"/>
      <c r="F123" s="105"/>
      <c r="G123" s="106"/>
      <c r="H123" s="138"/>
      <c r="I123" s="106"/>
      <c r="J123" s="138"/>
      <c r="K123" s="18"/>
      <c r="L123" s="18"/>
      <c r="M123" s="18"/>
      <c r="N123" s="19"/>
      <c r="O123" s="18"/>
      <c r="P123" s="18"/>
      <c r="Q123" s="18"/>
      <c r="R123" s="29"/>
      <c r="S123" s="20"/>
    </row>
    <row r="124" spans="1:18" ht="12.75" customHeight="1">
      <c r="A124" s="97"/>
      <c r="B124" s="133"/>
      <c r="C124" s="95"/>
      <c r="D124" s="11"/>
      <c r="E124" s="25"/>
      <c r="F124" s="100"/>
      <c r="G124" s="39"/>
      <c r="H124" s="138"/>
      <c r="I124" s="139"/>
      <c r="J124" s="138"/>
      <c r="K124" s="139"/>
      <c r="L124" s="18"/>
      <c r="M124" s="139"/>
      <c r="N124" s="19"/>
      <c r="O124" s="14"/>
      <c r="P124" s="14"/>
      <c r="Q124" s="140"/>
      <c r="R124" s="29"/>
    </row>
    <row r="125" spans="1:18" ht="12.75" customHeight="1">
      <c r="A125" s="97"/>
      <c r="B125" s="73"/>
      <c r="C125" s="20"/>
      <c r="D125" s="20"/>
      <c r="E125" s="20"/>
      <c r="F125" s="100"/>
      <c r="G125" s="18"/>
      <c r="H125" s="138"/>
      <c r="I125" s="18"/>
      <c r="J125" s="138"/>
      <c r="K125" s="18"/>
      <c r="L125" s="18"/>
      <c r="M125" s="18"/>
      <c r="N125" s="19"/>
      <c r="O125" s="18"/>
      <c r="P125" s="18"/>
      <c r="Q125" s="110"/>
      <c r="R125" s="29"/>
    </row>
    <row r="126" spans="1:18" ht="14.25" customHeight="1">
      <c r="A126" s="97"/>
      <c r="B126" s="81"/>
      <c r="C126" s="180"/>
      <c r="D126" s="95"/>
      <c r="E126" s="156"/>
      <c r="F126" s="100"/>
      <c r="G126" s="102"/>
      <c r="H126" s="138"/>
      <c r="I126" s="101"/>
      <c r="J126" s="138"/>
      <c r="K126" s="101"/>
      <c r="L126" s="138"/>
      <c r="M126" s="101"/>
      <c r="N126" s="138"/>
      <c r="O126" s="103"/>
      <c r="P126" s="19"/>
      <c r="Q126" s="104"/>
      <c r="R126" s="29"/>
    </row>
    <row r="127" spans="1:18" ht="14.25" customHeight="1">
      <c r="A127" s="32"/>
      <c r="B127" s="81"/>
      <c r="C127" s="20"/>
      <c r="D127" s="20"/>
      <c r="E127" s="105"/>
      <c r="F127" s="105"/>
      <c r="G127" s="106"/>
      <c r="H127" s="138"/>
      <c r="I127" s="106"/>
      <c r="J127" s="138"/>
      <c r="K127" s="18"/>
      <c r="L127" s="138"/>
      <c r="M127" s="18"/>
      <c r="N127" s="138"/>
      <c r="O127" s="18"/>
      <c r="P127" s="18"/>
      <c r="Q127" s="18"/>
      <c r="R127" s="29"/>
    </row>
    <row r="128" spans="1:18" ht="14.25" customHeight="1">
      <c r="A128" s="97"/>
      <c r="B128" s="131"/>
      <c r="C128" s="95"/>
      <c r="D128" s="11"/>
      <c r="E128" s="25"/>
      <c r="F128" s="100"/>
      <c r="G128" s="39"/>
      <c r="H128" s="138"/>
      <c r="I128" s="139"/>
      <c r="J128" s="138"/>
      <c r="K128" s="139"/>
      <c r="L128" s="138"/>
      <c r="M128" s="139"/>
      <c r="N128" s="138"/>
      <c r="O128" s="14"/>
      <c r="P128" s="14"/>
      <c r="Q128" s="140"/>
      <c r="R128" s="29"/>
    </row>
    <row r="129" spans="1:19" ht="14.25" customHeight="1">
      <c r="A129" s="97"/>
      <c r="B129" s="73"/>
      <c r="C129" s="20"/>
      <c r="D129" s="20"/>
      <c r="E129" s="20"/>
      <c r="F129" s="105"/>
      <c r="G129" s="18"/>
      <c r="H129" s="138"/>
      <c r="I129" s="18"/>
      <c r="J129" s="138"/>
      <c r="K129" s="18"/>
      <c r="L129" s="138"/>
      <c r="M129" s="18"/>
      <c r="N129" s="138"/>
      <c r="O129" s="18"/>
      <c r="P129" s="18"/>
      <c r="Q129" s="110"/>
      <c r="R129" s="29"/>
      <c r="S129" s="20"/>
    </row>
    <row r="130" spans="1:19" ht="14.25" customHeight="1">
      <c r="A130" s="97"/>
      <c r="B130" s="81"/>
      <c r="C130" s="180"/>
      <c r="D130" s="155"/>
      <c r="E130" s="156"/>
      <c r="F130" s="100"/>
      <c r="G130" s="102"/>
      <c r="H130" s="138"/>
      <c r="I130" s="101"/>
      <c r="J130" s="138"/>
      <c r="K130" s="101"/>
      <c r="L130" s="18"/>
      <c r="M130" s="101"/>
      <c r="N130" s="19"/>
      <c r="O130" s="103"/>
      <c r="P130" s="19"/>
      <c r="Q130" s="104"/>
      <c r="R130" s="29"/>
      <c r="S130" s="20"/>
    </row>
    <row r="131" spans="1:19" ht="14.25" customHeight="1">
      <c r="A131" s="97"/>
      <c r="B131" s="81"/>
      <c r="C131" s="20"/>
      <c r="D131" s="20"/>
      <c r="E131" s="105"/>
      <c r="F131" s="105"/>
      <c r="G131" s="106"/>
      <c r="H131" s="138"/>
      <c r="I131" s="106"/>
      <c r="J131" s="138"/>
      <c r="K131" s="18"/>
      <c r="L131" s="18"/>
      <c r="M131" s="18"/>
      <c r="N131" s="19"/>
      <c r="O131" s="18"/>
      <c r="P131" s="18"/>
      <c r="Q131" s="18"/>
      <c r="R131" s="29"/>
      <c r="S131" s="20"/>
    </row>
    <row r="132" spans="1:19" ht="14.25" customHeight="1">
      <c r="A132" s="97"/>
      <c r="B132" s="133"/>
      <c r="C132" s="95"/>
      <c r="D132" s="95"/>
      <c r="E132" s="108"/>
      <c r="F132" s="100"/>
      <c r="G132" s="39"/>
      <c r="H132" s="138"/>
      <c r="I132" s="139"/>
      <c r="J132" s="138"/>
      <c r="K132" s="139"/>
      <c r="L132" s="18"/>
      <c r="M132" s="139"/>
      <c r="N132" s="19"/>
      <c r="O132" s="18"/>
      <c r="P132" s="18"/>
      <c r="Q132" s="140"/>
      <c r="R132" s="29"/>
      <c r="S132" s="20"/>
    </row>
    <row r="133" spans="1:19" ht="14.25" customHeight="1">
      <c r="A133" s="97"/>
      <c r="B133" s="73"/>
      <c r="C133" s="20"/>
      <c r="D133" s="20"/>
      <c r="E133" s="20"/>
      <c r="F133" s="105"/>
      <c r="G133" s="18"/>
      <c r="H133" s="138"/>
      <c r="I133" s="18"/>
      <c r="J133" s="138"/>
      <c r="K133" s="18"/>
      <c r="L133" s="18"/>
      <c r="M133" s="18"/>
      <c r="N133" s="19"/>
      <c r="O133" s="18"/>
      <c r="P133" s="18"/>
      <c r="Q133" s="110"/>
      <c r="R133" s="29"/>
      <c r="S133" s="20"/>
    </row>
    <row r="134" spans="1:19" ht="14.25" customHeight="1">
      <c r="A134" s="97"/>
      <c r="B134" s="81"/>
      <c r="C134" s="180"/>
      <c r="D134" s="155"/>
      <c r="E134" s="156"/>
      <c r="F134" s="100"/>
      <c r="G134" s="102"/>
      <c r="H134" s="138"/>
      <c r="I134" s="101"/>
      <c r="J134" s="138"/>
      <c r="K134" s="101"/>
      <c r="L134" s="18"/>
      <c r="M134" s="101"/>
      <c r="N134" s="19"/>
      <c r="O134" s="103"/>
      <c r="P134" s="19"/>
      <c r="Q134" s="104"/>
      <c r="R134" s="29"/>
      <c r="S134" s="20"/>
    </row>
    <row r="135" spans="1:19" ht="14.25" customHeight="1">
      <c r="A135" s="97"/>
      <c r="B135" s="81"/>
      <c r="C135" s="20"/>
      <c r="D135" s="20"/>
      <c r="E135" s="105"/>
      <c r="F135" s="105"/>
      <c r="G135" s="106"/>
      <c r="H135" s="138"/>
      <c r="I135" s="106"/>
      <c r="J135" s="138"/>
      <c r="K135" s="18"/>
      <c r="L135" s="18"/>
      <c r="M135" s="18"/>
      <c r="N135" s="19"/>
      <c r="O135" s="18"/>
      <c r="P135" s="18"/>
      <c r="Q135" s="18"/>
      <c r="R135" s="29"/>
      <c r="S135" s="20"/>
    </row>
    <row r="136" spans="1:19" ht="14.25" customHeight="1">
      <c r="A136" s="97"/>
      <c r="B136" s="133"/>
      <c r="C136" s="95"/>
      <c r="D136" s="95"/>
      <c r="E136" s="108"/>
      <c r="F136" s="100"/>
      <c r="G136" s="39"/>
      <c r="H136" s="138"/>
      <c r="I136" s="139"/>
      <c r="J136" s="138"/>
      <c r="K136" s="139"/>
      <c r="L136" s="18"/>
      <c r="M136" s="139"/>
      <c r="N136" s="19"/>
      <c r="O136" s="18"/>
      <c r="P136" s="18"/>
      <c r="Q136" s="140"/>
      <c r="R136" s="29"/>
      <c r="S136" s="20"/>
    </row>
    <row r="137" spans="1:19" ht="14.25" customHeight="1">
      <c r="A137" s="97"/>
      <c r="B137" s="73"/>
      <c r="C137" s="20"/>
      <c r="D137" s="20"/>
      <c r="E137" s="20"/>
      <c r="F137" s="105"/>
      <c r="G137" s="18"/>
      <c r="H137" s="138"/>
      <c r="I137" s="18"/>
      <c r="J137" s="138"/>
      <c r="K137" s="18"/>
      <c r="L137" s="18"/>
      <c r="M137" s="18"/>
      <c r="N137" s="19"/>
      <c r="O137" s="18"/>
      <c r="P137" s="18"/>
      <c r="Q137" s="110"/>
      <c r="R137" s="29"/>
      <c r="S137" s="20"/>
    </row>
    <row r="138" spans="1:19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</sheetData>
  <sheetProtection selectLockedCells="1"/>
  <printOptions/>
  <pageMargins left="0" right="0" top="0" bottom="0" header="0" footer="0.51180993000874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95"/>
  <sheetViews>
    <sheetView zoomScale="140" zoomScaleNormal="140" workbookViewId="0" topLeftCell="A1">
      <selection activeCell="U35" sqref="U35"/>
    </sheetView>
  </sheetViews>
  <sheetFormatPr defaultColWidth="9.140625" defaultRowHeight="12.75"/>
  <cols>
    <col min="1" max="2" width="7.421875" style="0" customWidth="1"/>
    <col min="3" max="3" width="4.7109375" style="0" customWidth="1"/>
    <col min="4" max="4" width="22.140625" style="0" customWidth="1"/>
    <col min="5" max="5" width="12.7109375" style="0" customWidth="1"/>
    <col min="6" max="6" width="0.85546875" style="0" customWidth="1"/>
    <col min="7" max="7" width="7.7109375" style="0" customWidth="1"/>
    <col min="8" max="8" width="0.85546875" style="0" customWidth="1"/>
    <col min="9" max="9" width="7.7109375" style="0" customWidth="1"/>
    <col min="10" max="10" width="0.85546875" style="0" customWidth="1"/>
    <col min="11" max="11" width="7.7109375" style="0" customWidth="1"/>
    <col min="12" max="12" width="0.85546875" style="0" customWidth="1"/>
    <col min="13" max="13" width="7.7109375" style="0" customWidth="1"/>
    <col min="14" max="14" width="0.85546875" style="0" customWidth="1"/>
    <col min="15" max="15" width="2.57421875" style="0" customWidth="1"/>
    <col min="16" max="16" width="0.71875" style="0" customWidth="1"/>
    <col min="17" max="17" width="5.421875" style="0" customWidth="1"/>
    <col min="18" max="18" width="0.85546875" style="0" customWidth="1"/>
    <col min="19" max="19" width="9.7109375" style="0" customWidth="1"/>
    <col min="20" max="20" width="0.85546875" style="0" customWidth="1"/>
    <col min="21" max="21" width="9.7109375" style="0" customWidth="1"/>
    <col min="22" max="22" width="0.85546875" style="0" customWidth="1"/>
    <col min="23" max="23" width="9.7109375" style="0" customWidth="1"/>
    <col min="24" max="24" width="0.85546875" style="0" customWidth="1"/>
    <col min="25" max="25" width="9.7109375" style="0" customWidth="1"/>
    <col min="26" max="26" width="0.85546875" style="0" customWidth="1"/>
    <col min="28" max="28" width="0.85546875" style="0" customWidth="1"/>
  </cols>
  <sheetData>
    <row r="2" spans="1:2" ht="15.75">
      <c r="A2" s="1" t="s">
        <v>30</v>
      </c>
      <c r="B2" s="1"/>
    </row>
    <row r="3" spans="1:2" ht="15.75">
      <c r="A3" s="1" t="s">
        <v>31</v>
      </c>
      <c r="B3" s="1"/>
    </row>
    <row r="4" spans="1:2" ht="15.75">
      <c r="A4" s="1" t="s">
        <v>120</v>
      </c>
      <c r="B4" s="1"/>
    </row>
    <row r="5" spans="1:2" ht="14.25" customHeight="1">
      <c r="A5" s="1"/>
      <c r="B5" s="1"/>
    </row>
    <row r="6" spans="5:9" ht="14.25" customHeight="1">
      <c r="E6" s="148" t="s">
        <v>72</v>
      </c>
      <c r="G6" s="147">
        <v>1880</v>
      </c>
      <c r="I6" s="149" t="s">
        <v>77</v>
      </c>
    </row>
    <row r="7" spans="1:11" ht="15.75" customHeight="1">
      <c r="A7" s="6" t="s">
        <v>42</v>
      </c>
      <c r="B7" s="6"/>
      <c r="E7" s="151" t="s">
        <v>0</v>
      </c>
      <c r="G7" s="151">
        <v>1880</v>
      </c>
      <c r="H7" s="41"/>
      <c r="I7" s="150" t="s">
        <v>77</v>
      </c>
      <c r="J7" s="41"/>
      <c r="K7" s="41"/>
    </row>
    <row r="8" spans="1:2" ht="14.25" customHeight="1">
      <c r="A8" s="41" t="s">
        <v>29</v>
      </c>
      <c r="B8" s="41"/>
    </row>
    <row r="9" spans="7:23" ht="14.25" customHeight="1">
      <c r="G9" s="13" t="s">
        <v>26</v>
      </c>
      <c r="H9" s="13"/>
      <c r="I9" s="13" t="s">
        <v>17</v>
      </c>
      <c r="J9" s="13"/>
      <c r="K9" s="13" t="s">
        <v>18</v>
      </c>
      <c r="L9" s="13"/>
      <c r="M9" s="13" t="s">
        <v>14</v>
      </c>
      <c r="N9" s="13"/>
      <c r="O9" s="13"/>
      <c r="P9" s="13"/>
      <c r="Q9" s="13" t="s">
        <v>15</v>
      </c>
      <c r="R9" s="13"/>
      <c r="S9" s="13"/>
      <c r="T9" s="13"/>
      <c r="V9" s="13"/>
      <c r="W9" s="13"/>
    </row>
    <row r="10" spans="1:23" ht="14.25" customHeight="1">
      <c r="A10" s="13" t="s">
        <v>1</v>
      </c>
      <c r="C10" s="62" t="s">
        <v>21</v>
      </c>
      <c r="D10" s="11" t="s">
        <v>9</v>
      </c>
      <c r="E10" s="60" t="s">
        <v>20</v>
      </c>
      <c r="G10" s="21" t="s">
        <v>22</v>
      </c>
      <c r="H10" s="12"/>
      <c r="I10" s="21" t="s">
        <v>23</v>
      </c>
      <c r="J10" s="12"/>
      <c r="K10" s="21" t="s">
        <v>24</v>
      </c>
      <c r="L10" s="12"/>
      <c r="M10" s="21" t="s">
        <v>23</v>
      </c>
      <c r="N10" s="12"/>
      <c r="O10" s="12"/>
      <c r="P10" s="12"/>
      <c r="Q10" s="21" t="s">
        <v>22</v>
      </c>
      <c r="R10" s="12"/>
      <c r="S10" s="12"/>
      <c r="T10" s="12"/>
      <c r="V10" s="12"/>
      <c r="W10" s="12"/>
    </row>
    <row r="11" spans="1:23" ht="14.25" customHeight="1">
      <c r="A11" s="13" t="s">
        <v>2</v>
      </c>
      <c r="B11" s="58" t="s">
        <v>37</v>
      </c>
      <c r="E11" s="10"/>
      <c r="F11" s="10"/>
      <c r="G11" s="14" t="s">
        <v>11</v>
      </c>
      <c r="H11" s="7"/>
      <c r="I11" s="14" t="s">
        <v>11</v>
      </c>
      <c r="J11" s="7"/>
      <c r="K11" s="14"/>
      <c r="L11" s="7"/>
      <c r="M11" s="14"/>
      <c r="N11" s="7"/>
      <c r="O11" s="7"/>
      <c r="P11" s="7"/>
      <c r="Q11" s="14"/>
      <c r="R11" s="7"/>
      <c r="S11" s="7"/>
      <c r="T11" s="7"/>
      <c r="V11" s="7"/>
      <c r="W11" s="7"/>
    </row>
    <row r="12" spans="2:23" ht="14.25" customHeight="1">
      <c r="B12" s="58" t="s">
        <v>2</v>
      </c>
      <c r="C12" s="11" t="s">
        <v>10</v>
      </c>
      <c r="E12" s="61" t="s">
        <v>19</v>
      </c>
      <c r="F12" s="7"/>
      <c r="G12" s="14" t="s">
        <v>12</v>
      </c>
      <c r="H12" s="7"/>
      <c r="I12" s="14" t="s">
        <v>12</v>
      </c>
      <c r="J12" s="7"/>
      <c r="K12" s="14" t="s">
        <v>12</v>
      </c>
      <c r="L12" s="7"/>
      <c r="M12" s="14" t="s">
        <v>12</v>
      </c>
      <c r="N12" s="7"/>
      <c r="O12" s="7"/>
      <c r="P12" s="7"/>
      <c r="Q12" s="14" t="s">
        <v>12</v>
      </c>
      <c r="R12" s="7"/>
      <c r="S12" s="7"/>
      <c r="T12" s="7"/>
      <c r="V12" s="7"/>
      <c r="W12" s="7"/>
    </row>
    <row r="13" spans="1:23" ht="14.25" customHeight="1">
      <c r="A13" s="8"/>
      <c r="B13" s="8"/>
      <c r="C13" s="8"/>
      <c r="D13" s="8"/>
      <c r="E13" s="8"/>
      <c r="F13" s="8"/>
      <c r="G13" s="15" t="s">
        <v>13</v>
      </c>
      <c r="H13" s="9"/>
      <c r="I13" s="15" t="s">
        <v>13</v>
      </c>
      <c r="J13" s="9"/>
      <c r="K13" s="15" t="s">
        <v>13</v>
      </c>
      <c r="L13" s="9"/>
      <c r="M13" s="15" t="s">
        <v>13</v>
      </c>
      <c r="N13" s="9"/>
      <c r="O13" s="9"/>
      <c r="P13" s="9"/>
      <c r="Q13" s="15" t="s">
        <v>13</v>
      </c>
      <c r="R13" s="9"/>
      <c r="S13" s="19"/>
      <c r="T13" s="19"/>
      <c r="V13" s="19"/>
      <c r="W13" s="19"/>
    </row>
    <row r="14" spans="1:23" ht="14.25" customHeight="1">
      <c r="A14" s="31"/>
      <c r="B14" s="73"/>
      <c r="C14" s="181">
        <v>716</v>
      </c>
      <c r="D14" s="130" t="s">
        <v>136</v>
      </c>
      <c r="E14" s="91" t="s">
        <v>357</v>
      </c>
      <c r="F14" s="10">
        <v>41</v>
      </c>
      <c r="G14" s="82">
        <v>13.7</v>
      </c>
      <c r="H14" s="34">
        <f>G16</f>
        <v>422</v>
      </c>
      <c r="I14" s="83">
        <v>4.92</v>
      </c>
      <c r="J14" s="137">
        <f>G17+I16</f>
        <v>789</v>
      </c>
      <c r="K14" s="83">
        <v>1.4</v>
      </c>
      <c r="L14" s="18">
        <f>I17+K16</f>
        <v>1106</v>
      </c>
      <c r="M14" s="83">
        <v>9.34</v>
      </c>
      <c r="N14" s="27">
        <f>K17+M16</f>
        <v>1552</v>
      </c>
      <c r="O14" s="88">
        <v>2</v>
      </c>
      <c r="P14" s="7" t="s">
        <v>25</v>
      </c>
      <c r="Q14" s="184" t="s">
        <v>425</v>
      </c>
      <c r="R14" s="28">
        <f>M17+Q16</f>
        <v>1852</v>
      </c>
      <c r="S14" s="18"/>
      <c r="T14" s="18"/>
      <c r="V14" s="18"/>
      <c r="W14" s="18"/>
    </row>
    <row r="15" spans="1:23" ht="12.75" customHeight="1">
      <c r="A15" s="32">
        <v>1</v>
      </c>
      <c r="B15" s="74"/>
      <c r="E15" s="10"/>
      <c r="F15" s="26">
        <v>42</v>
      </c>
      <c r="G15" s="85"/>
      <c r="H15" s="35">
        <f>G16</f>
        <v>422</v>
      </c>
      <c r="I15" s="85"/>
      <c r="J15" s="138">
        <f>G17+I16</f>
        <v>789</v>
      </c>
      <c r="K15" s="14"/>
      <c r="L15" s="18">
        <f>I17+K16</f>
        <v>1106</v>
      </c>
      <c r="M15" s="14"/>
      <c r="N15" s="19">
        <f>K17+M16</f>
        <v>1552</v>
      </c>
      <c r="O15" s="14"/>
      <c r="P15" s="14"/>
      <c r="Q15" s="14"/>
      <c r="R15" s="29">
        <f>M17+Q16</f>
        <v>1852</v>
      </c>
      <c r="S15" s="18"/>
      <c r="T15" s="18"/>
      <c r="U15" s="38"/>
      <c r="V15" s="18"/>
      <c r="W15" s="18"/>
    </row>
    <row r="16" spans="1:23" ht="14.25" customHeight="1">
      <c r="A16" s="152"/>
      <c r="B16" s="175"/>
      <c r="C16" s="11" t="s">
        <v>145</v>
      </c>
      <c r="D16" s="11"/>
      <c r="E16" s="25">
        <f>R14</f>
        <v>1852</v>
      </c>
      <c r="F16" s="26">
        <v>43</v>
      </c>
      <c r="G16" s="39">
        <f>IF(G14=0,0,VLOOKUP(G14,Tables!$G$3:$H$152,2,TRUE))</f>
        <v>422</v>
      </c>
      <c r="H16" s="35">
        <f>G16</f>
        <v>422</v>
      </c>
      <c r="I16" s="139">
        <f>ROUNDDOWN(0.14354*(100*I14-220)^1.4,0)</f>
        <v>367</v>
      </c>
      <c r="J16" s="138">
        <f>G17+I16</f>
        <v>789</v>
      </c>
      <c r="K16" s="139">
        <f>ROUNDDOWN(0.8465*(100*K14-75)^1.42,0)</f>
        <v>317</v>
      </c>
      <c r="L16" s="18">
        <f>I17+K16</f>
        <v>1106</v>
      </c>
      <c r="M16" s="139">
        <f>ROUNDDOWN(51.39*(M14-1.5)^1.05,0)</f>
        <v>446</v>
      </c>
      <c r="N16" s="19">
        <f>K17+M16</f>
        <v>1552</v>
      </c>
      <c r="O16" s="14"/>
      <c r="P16" s="14"/>
      <c r="Q16" s="140">
        <f>IF(O14+Q14=0,0,TRUNC(0.232*((200-(O14*60+Q14))^1.85)))</f>
        <v>300</v>
      </c>
      <c r="R16" s="29">
        <f>M17+Q16</f>
        <v>1852</v>
      </c>
      <c r="S16" s="18"/>
      <c r="T16" s="18"/>
      <c r="U16" s="38"/>
      <c r="V16" s="18"/>
      <c r="W16" s="18"/>
    </row>
    <row r="17" spans="1:23" ht="14.25" customHeight="1">
      <c r="A17" s="33"/>
      <c r="B17" s="76"/>
      <c r="C17" s="8"/>
      <c r="D17" s="8"/>
      <c r="E17" s="8"/>
      <c r="F17" s="10">
        <v>44</v>
      </c>
      <c r="G17" s="15">
        <f>G16</f>
        <v>422</v>
      </c>
      <c r="H17" s="36">
        <f>G16</f>
        <v>422</v>
      </c>
      <c r="I17" s="15">
        <f>G17+I16</f>
        <v>789</v>
      </c>
      <c r="J17" s="138">
        <f>G17+I16</f>
        <v>789</v>
      </c>
      <c r="K17" s="15">
        <f>I17+K16</f>
        <v>1106</v>
      </c>
      <c r="L17" s="15">
        <f>I17+K16</f>
        <v>1106</v>
      </c>
      <c r="M17" s="15">
        <f>K17+M16</f>
        <v>1552</v>
      </c>
      <c r="N17" s="19">
        <f>K17+M16</f>
        <v>1552</v>
      </c>
      <c r="O17" s="15"/>
      <c r="P17" s="15"/>
      <c r="Q17" s="24">
        <f>M17+Q16</f>
        <v>1852</v>
      </c>
      <c r="R17" s="29">
        <f>M17+Q16</f>
        <v>1852</v>
      </c>
      <c r="S17" s="18"/>
      <c r="T17" s="18"/>
      <c r="V17" s="18"/>
      <c r="W17" s="18"/>
    </row>
    <row r="18" spans="1:23" ht="14.25" customHeight="1">
      <c r="A18" s="31"/>
      <c r="B18" s="73"/>
      <c r="C18" s="181">
        <v>710</v>
      </c>
      <c r="D18" s="130" t="s">
        <v>132</v>
      </c>
      <c r="E18" s="91" t="s">
        <v>436</v>
      </c>
      <c r="F18" s="10">
        <v>17</v>
      </c>
      <c r="G18" s="82">
        <v>13</v>
      </c>
      <c r="H18" s="34">
        <f>G20</f>
        <v>483</v>
      </c>
      <c r="I18" s="83">
        <v>4.79</v>
      </c>
      <c r="J18" s="137">
        <f>G21+I20</f>
        <v>826</v>
      </c>
      <c r="K18" s="83">
        <v>1.37</v>
      </c>
      <c r="L18" s="18">
        <f>I21+K20</f>
        <v>1123</v>
      </c>
      <c r="M18" s="83">
        <v>8.05</v>
      </c>
      <c r="N18" s="27">
        <f>K21+M20</f>
        <v>1492</v>
      </c>
      <c r="O18" s="88">
        <v>2</v>
      </c>
      <c r="P18" s="7" t="s">
        <v>25</v>
      </c>
      <c r="Q18" s="184" t="s">
        <v>431</v>
      </c>
      <c r="R18" s="28">
        <f>M21+Q20</f>
        <v>1639</v>
      </c>
      <c r="S18" s="20"/>
      <c r="T18" s="20"/>
      <c r="U18" s="16"/>
      <c r="V18" s="20"/>
      <c r="W18" s="20"/>
    </row>
    <row r="19" spans="1:18" ht="12.75" customHeight="1">
      <c r="A19" s="32">
        <v>2</v>
      </c>
      <c r="B19" s="74"/>
      <c r="E19" s="10"/>
      <c r="F19" s="26">
        <v>18</v>
      </c>
      <c r="G19" s="85"/>
      <c r="H19" s="35">
        <f>G20</f>
        <v>483</v>
      </c>
      <c r="I19" s="85"/>
      <c r="J19" s="138">
        <f>G21+I20</f>
        <v>826</v>
      </c>
      <c r="K19" s="14"/>
      <c r="L19" s="18">
        <f>I21+K20</f>
        <v>1123</v>
      </c>
      <c r="M19" s="14"/>
      <c r="N19" s="19">
        <f>K21+M20</f>
        <v>1492</v>
      </c>
      <c r="O19" s="14"/>
      <c r="P19" s="14"/>
      <c r="Q19" s="14"/>
      <c r="R19" s="29">
        <f>M21+Q20</f>
        <v>1639</v>
      </c>
    </row>
    <row r="20" spans="1:21" ht="14.25" customHeight="1">
      <c r="A20" s="32"/>
      <c r="B20" s="175">
        <v>1</v>
      </c>
      <c r="C20" s="11" t="s">
        <v>141</v>
      </c>
      <c r="D20" s="11"/>
      <c r="E20" s="25">
        <f>R18</f>
        <v>1639</v>
      </c>
      <c r="F20" s="26">
        <v>19</v>
      </c>
      <c r="G20" s="39">
        <f>IF(G18=0,0,VLOOKUP(G18,Tables!$G$3:$H$152,2,TRUE))</f>
        <v>483</v>
      </c>
      <c r="H20" s="35">
        <f>G20</f>
        <v>483</v>
      </c>
      <c r="I20" s="139">
        <f>ROUNDDOWN(0.14354*(100*I18-220)^1.4,0)</f>
        <v>343</v>
      </c>
      <c r="J20" s="138">
        <f>G21+I20</f>
        <v>826</v>
      </c>
      <c r="K20" s="139">
        <f>ROUNDDOWN(0.8465*(100*K18-75)^1.42,0)</f>
        <v>297</v>
      </c>
      <c r="L20" s="18">
        <f>I21+K20</f>
        <v>1123</v>
      </c>
      <c r="M20" s="139">
        <f>ROUNDDOWN(51.39*(M18-1.5)^1.05,0)</f>
        <v>369</v>
      </c>
      <c r="N20" s="19">
        <f>K21+M20</f>
        <v>1492</v>
      </c>
      <c r="O20" s="14"/>
      <c r="P20" s="14"/>
      <c r="Q20" s="140">
        <f>IF(O18+Q18=0,0,TRUNC(0.232*((200-(O18*60+Q18))^1.85)))</f>
        <v>147</v>
      </c>
      <c r="R20" s="29">
        <f>M21+Q20</f>
        <v>1639</v>
      </c>
      <c r="U20" s="38"/>
    </row>
    <row r="21" spans="1:23" ht="14.25" customHeight="1">
      <c r="A21" s="33"/>
      <c r="B21" s="76"/>
      <c r="C21" s="8"/>
      <c r="D21" s="8"/>
      <c r="E21" s="8"/>
      <c r="F21" s="10">
        <v>20</v>
      </c>
      <c r="G21" s="15">
        <f>G20</f>
        <v>483</v>
      </c>
      <c r="H21" s="36">
        <f>G20</f>
        <v>483</v>
      </c>
      <c r="I21" s="15">
        <f>G21+I20</f>
        <v>826</v>
      </c>
      <c r="J21" s="138">
        <f>G21+I20</f>
        <v>826</v>
      </c>
      <c r="K21" s="15">
        <f>I21+K20</f>
        <v>1123</v>
      </c>
      <c r="L21" s="15">
        <f>I21+K20</f>
        <v>1123</v>
      </c>
      <c r="M21" s="15">
        <f>K21+M20</f>
        <v>1492</v>
      </c>
      <c r="N21" s="19">
        <f>K21+M20</f>
        <v>1492</v>
      </c>
      <c r="O21" s="15"/>
      <c r="P21" s="15"/>
      <c r="Q21" s="24">
        <f>M21+Q20</f>
        <v>1639</v>
      </c>
      <c r="R21" s="29">
        <f>M21+Q20</f>
        <v>1639</v>
      </c>
      <c r="W21" s="22"/>
    </row>
    <row r="22" spans="1:23" ht="14.25" customHeight="1">
      <c r="A22" s="31"/>
      <c r="B22" s="73"/>
      <c r="C22" s="181">
        <v>718</v>
      </c>
      <c r="D22" s="130" t="s">
        <v>138</v>
      </c>
      <c r="E22" s="91" t="s">
        <v>437</v>
      </c>
      <c r="F22" s="26">
        <v>49</v>
      </c>
      <c r="G22" s="82">
        <v>13.3</v>
      </c>
      <c r="H22" s="34">
        <f>G24</f>
        <v>457</v>
      </c>
      <c r="I22" s="83">
        <v>4.43</v>
      </c>
      <c r="J22" s="137">
        <f>G25+I24</f>
        <v>735</v>
      </c>
      <c r="K22" s="83">
        <v>1.25</v>
      </c>
      <c r="L22" s="18">
        <f>I25+K24</f>
        <v>953</v>
      </c>
      <c r="M22" s="83">
        <v>7.24</v>
      </c>
      <c r="N22" s="27">
        <f>K25+M24</f>
        <v>1274</v>
      </c>
      <c r="O22" s="88">
        <v>2</v>
      </c>
      <c r="P22" s="7" t="s">
        <v>25</v>
      </c>
      <c r="Q22" s="184" t="s">
        <v>427</v>
      </c>
      <c r="R22" s="28">
        <f>M25+Q24</f>
        <v>1550</v>
      </c>
      <c r="S22" s="20"/>
      <c r="T22" s="20"/>
      <c r="U22" s="16"/>
      <c r="V22" s="20"/>
      <c r="W22" s="20"/>
    </row>
    <row r="23" spans="1:18" ht="12.75" customHeight="1">
      <c r="A23" s="32">
        <v>3</v>
      </c>
      <c r="B23" s="74"/>
      <c r="E23" s="10"/>
      <c r="F23" s="10">
        <v>50</v>
      </c>
      <c r="G23" s="85"/>
      <c r="H23" s="35">
        <f>G24</f>
        <v>457</v>
      </c>
      <c r="I23" s="85"/>
      <c r="J23" s="138">
        <f>G25+I24</f>
        <v>735</v>
      </c>
      <c r="K23" s="14"/>
      <c r="L23" s="18">
        <f>I25+K24</f>
        <v>953</v>
      </c>
      <c r="M23" s="14"/>
      <c r="N23" s="19">
        <f>K25+M24</f>
        <v>1274</v>
      </c>
      <c r="O23" s="14"/>
      <c r="P23" s="14"/>
      <c r="Q23" s="14"/>
      <c r="R23" s="29">
        <f>M25+Q24</f>
        <v>1550</v>
      </c>
    </row>
    <row r="24" spans="1:21" ht="14.25" customHeight="1">
      <c r="A24" s="32"/>
      <c r="C24" s="11" t="s">
        <v>147</v>
      </c>
      <c r="D24" s="11"/>
      <c r="E24" s="25">
        <f>R22</f>
        <v>1550</v>
      </c>
      <c r="F24" s="26">
        <v>51</v>
      </c>
      <c r="G24" s="39">
        <f>IF(G22=0,0,VLOOKUP(G22,Tables!$G$3:$H$152,2,TRUE))</f>
        <v>457</v>
      </c>
      <c r="H24" s="35">
        <f>G24</f>
        <v>457</v>
      </c>
      <c r="I24" s="139">
        <f>ROUNDDOWN(0.14354*(100*I22-220)^1.4,0)</f>
        <v>278</v>
      </c>
      <c r="J24" s="138">
        <f>G25+I24</f>
        <v>735</v>
      </c>
      <c r="K24" s="139">
        <f>ROUNDDOWN(0.8465*(100*K22-75)^1.42,0)</f>
        <v>218</v>
      </c>
      <c r="L24" s="18">
        <f>I25+K24</f>
        <v>953</v>
      </c>
      <c r="M24" s="139">
        <f>ROUNDDOWN(51.39*(M22-1.5)^1.05,0)</f>
        <v>321</v>
      </c>
      <c r="N24" s="19">
        <f>K25+M24</f>
        <v>1274</v>
      </c>
      <c r="O24" s="14"/>
      <c r="P24" s="14"/>
      <c r="Q24" s="140">
        <f>IF(O22+Q22=0,0,TRUNC(0.232*((200-(O22*60+Q22))^1.85)))</f>
        <v>276</v>
      </c>
      <c r="R24" s="29">
        <f>M25+Q24</f>
        <v>1550</v>
      </c>
      <c r="U24" s="38"/>
    </row>
    <row r="25" spans="1:23" ht="14.25" customHeight="1">
      <c r="A25" s="33"/>
      <c r="B25" s="76"/>
      <c r="C25" s="8"/>
      <c r="D25" s="8"/>
      <c r="E25" s="8"/>
      <c r="F25" s="26">
        <v>52</v>
      </c>
      <c r="G25" s="15">
        <f>G24</f>
        <v>457</v>
      </c>
      <c r="H25" s="36">
        <f>G24</f>
        <v>457</v>
      </c>
      <c r="I25" s="15">
        <f>G25+I24</f>
        <v>735</v>
      </c>
      <c r="J25" s="138">
        <f>G25+I24</f>
        <v>735</v>
      </c>
      <c r="K25" s="15">
        <f>I25+K24</f>
        <v>953</v>
      </c>
      <c r="L25" s="15">
        <f>I25+K24</f>
        <v>953</v>
      </c>
      <c r="M25" s="15">
        <f>K25+M24</f>
        <v>1274</v>
      </c>
      <c r="N25" s="19">
        <f>K25+M24</f>
        <v>1274</v>
      </c>
      <c r="O25" s="15"/>
      <c r="P25" s="15"/>
      <c r="Q25" s="24">
        <f>M25+Q24</f>
        <v>1550</v>
      </c>
      <c r="R25" s="29">
        <f>M25+Q24</f>
        <v>1550</v>
      </c>
      <c r="W25" s="22"/>
    </row>
    <row r="26" spans="1:23" ht="14.25" customHeight="1">
      <c r="A26" s="31"/>
      <c r="B26" s="73"/>
      <c r="C26" s="181">
        <v>717</v>
      </c>
      <c r="D26" s="130" t="s">
        <v>137</v>
      </c>
      <c r="E26" s="91" t="s">
        <v>438</v>
      </c>
      <c r="F26" s="26">
        <v>45</v>
      </c>
      <c r="G26" s="82">
        <v>14.8</v>
      </c>
      <c r="H26" s="34">
        <f>G28</f>
        <v>332</v>
      </c>
      <c r="I26" s="83">
        <v>4.38</v>
      </c>
      <c r="J26" s="137">
        <f>G29+I28</f>
        <v>601</v>
      </c>
      <c r="K26" s="83">
        <v>1.4</v>
      </c>
      <c r="L26" s="18">
        <f>I29+K28</f>
        <v>918</v>
      </c>
      <c r="M26" s="83">
        <v>6.95</v>
      </c>
      <c r="N26" s="27">
        <f>K29+M28</f>
        <v>1222</v>
      </c>
      <c r="O26" s="88">
        <v>2</v>
      </c>
      <c r="P26" s="7" t="s">
        <v>25</v>
      </c>
      <c r="Q26" s="184" t="s">
        <v>429</v>
      </c>
      <c r="R26" s="28">
        <f>M29+Q28</f>
        <v>1461</v>
      </c>
      <c r="S26" s="20"/>
      <c r="T26" s="20"/>
      <c r="U26" s="16"/>
      <c r="V26" s="20"/>
      <c r="W26" s="20"/>
    </row>
    <row r="27" spans="1:18" ht="12.75" customHeight="1">
      <c r="A27" s="32">
        <v>4</v>
      </c>
      <c r="B27" s="74"/>
      <c r="E27" s="10"/>
      <c r="F27" s="26">
        <v>46</v>
      </c>
      <c r="G27" s="85"/>
      <c r="H27" s="35">
        <f>G28</f>
        <v>332</v>
      </c>
      <c r="I27" s="85"/>
      <c r="J27" s="138">
        <f>G29+I28</f>
        <v>601</v>
      </c>
      <c r="K27" s="14"/>
      <c r="L27" s="18">
        <f>I29+K28</f>
        <v>918</v>
      </c>
      <c r="M27" s="14"/>
      <c r="N27" s="19">
        <f>K29+M28</f>
        <v>1222</v>
      </c>
      <c r="O27" s="14"/>
      <c r="P27" s="14"/>
      <c r="Q27" s="14"/>
      <c r="R27" s="29">
        <f>M29+Q28</f>
        <v>1461</v>
      </c>
    </row>
    <row r="28" spans="1:21" ht="14.25" customHeight="1">
      <c r="A28" s="32"/>
      <c r="B28" s="176"/>
      <c r="C28" s="11" t="s">
        <v>146</v>
      </c>
      <c r="D28" s="11"/>
      <c r="E28" s="25">
        <f>R26</f>
        <v>1461</v>
      </c>
      <c r="F28" s="10">
        <v>47</v>
      </c>
      <c r="G28" s="39">
        <f>IF(G26=0,0,VLOOKUP(G26,Tables!$G$3:$H$152,2,TRUE))</f>
        <v>332</v>
      </c>
      <c r="H28" s="35">
        <f>G28</f>
        <v>332</v>
      </c>
      <c r="I28" s="139">
        <f>ROUNDDOWN(0.14354*(100*I26-220)^1.4,0)</f>
        <v>269</v>
      </c>
      <c r="J28" s="138">
        <f>G29+I28</f>
        <v>601</v>
      </c>
      <c r="K28" s="139">
        <f>ROUNDDOWN(0.8465*(100*K26-75)^1.42,0)</f>
        <v>317</v>
      </c>
      <c r="L28" s="18">
        <f>I29+K28</f>
        <v>918</v>
      </c>
      <c r="M28" s="139">
        <f>ROUNDDOWN(51.39*(M26-1.5)^1.05,0)</f>
        <v>304</v>
      </c>
      <c r="N28" s="19">
        <f>K29+M28</f>
        <v>1222</v>
      </c>
      <c r="O28" s="14"/>
      <c r="P28" s="14"/>
      <c r="Q28" s="140">
        <f>IF(O26+Q26=0,0,TRUNC(0.232*((200-(O26*60+Q26))^1.85)))</f>
        <v>239</v>
      </c>
      <c r="R28" s="29">
        <f>M29+Q28</f>
        <v>1461</v>
      </c>
      <c r="U28" s="38"/>
    </row>
    <row r="29" spans="1:23" ht="14.25" customHeight="1">
      <c r="A29" s="33"/>
      <c r="B29" s="76"/>
      <c r="C29" s="8"/>
      <c r="D29" s="8"/>
      <c r="E29" s="8"/>
      <c r="F29" s="26">
        <v>48</v>
      </c>
      <c r="G29" s="15">
        <f>G28</f>
        <v>332</v>
      </c>
      <c r="H29" s="36">
        <f>G28</f>
        <v>332</v>
      </c>
      <c r="I29" s="15">
        <f>G29+I28</f>
        <v>601</v>
      </c>
      <c r="J29" s="138">
        <f>G29+I28</f>
        <v>601</v>
      </c>
      <c r="K29" s="15">
        <f>I29+K28</f>
        <v>918</v>
      </c>
      <c r="L29" s="15">
        <f>I29+K28</f>
        <v>918</v>
      </c>
      <c r="M29" s="15">
        <f>K29+M28</f>
        <v>1222</v>
      </c>
      <c r="N29" s="19">
        <f>K29+M28</f>
        <v>1222</v>
      </c>
      <c r="O29" s="15"/>
      <c r="P29" s="15"/>
      <c r="Q29" s="24">
        <f>M29+Q28</f>
        <v>1461</v>
      </c>
      <c r="R29" s="29">
        <f>M29+Q28</f>
        <v>1461</v>
      </c>
      <c r="W29" s="191"/>
    </row>
    <row r="30" spans="1:23" ht="14.25" customHeight="1">
      <c r="A30" s="31"/>
      <c r="B30" s="73"/>
      <c r="C30" s="181">
        <v>708</v>
      </c>
      <c r="D30" s="130" t="s">
        <v>130</v>
      </c>
      <c r="E30" s="91" t="s">
        <v>441</v>
      </c>
      <c r="F30" s="26">
        <v>9</v>
      </c>
      <c r="G30" s="82">
        <v>15.1</v>
      </c>
      <c r="H30" s="34">
        <f>G32</f>
        <v>310</v>
      </c>
      <c r="I30" s="83">
        <v>4.09</v>
      </c>
      <c r="J30" s="137">
        <f>G33+I32</f>
        <v>530</v>
      </c>
      <c r="K30" s="83">
        <v>1.31</v>
      </c>
      <c r="L30" s="18">
        <f>I33+K32</f>
        <v>787</v>
      </c>
      <c r="M30" s="83">
        <v>6.42</v>
      </c>
      <c r="N30" s="27">
        <f>K33+M32</f>
        <v>1060</v>
      </c>
      <c r="O30" s="88">
        <v>2</v>
      </c>
      <c r="P30" s="7" t="s">
        <v>25</v>
      </c>
      <c r="Q30" s="184" t="s">
        <v>424</v>
      </c>
      <c r="R30" s="28">
        <f>M33+Q32</f>
        <v>1364</v>
      </c>
      <c r="S30" s="20"/>
      <c r="T30" s="20"/>
      <c r="U30" s="16"/>
      <c r="V30" s="20"/>
      <c r="W30" s="20"/>
    </row>
    <row r="31" spans="1:18" ht="12.75" customHeight="1">
      <c r="A31" s="32">
        <v>5</v>
      </c>
      <c r="B31" s="74"/>
      <c r="E31" s="10"/>
      <c r="F31" s="26">
        <v>10</v>
      </c>
      <c r="G31" s="85"/>
      <c r="H31" s="35">
        <f>G32</f>
        <v>310</v>
      </c>
      <c r="I31" s="85"/>
      <c r="J31" s="138">
        <f>G33+I32</f>
        <v>530</v>
      </c>
      <c r="K31" s="14"/>
      <c r="L31" s="18">
        <f>I33+K32</f>
        <v>787</v>
      </c>
      <c r="M31" s="14"/>
      <c r="N31" s="19">
        <f>K33+M32</f>
        <v>1060</v>
      </c>
      <c r="O31" s="14"/>
      <c r="P31" s="14"/>
      <c r="Q31" s="14"/>
      <c r="R31" s="29">
        <f>M33+Q32</f>
        <v>1364</v>
      </c>
    </row>
    <row r="32" spans="1:21" ht="14.25" customHeight="1">
      <c r="A32" s="32"/>
      <c r="B32" s="199">
        <v>2</v>
      </c>
      <c r="C32" s="11" t="s">
        <v>101</v>
      </c>
      <c r="D32" s="11"/>
      <c r="E32" s="25">
        <f>R30</f>
        <v>1364</v>
      </c>
      <c r="F32" s="10">
        <v>11</v>
      </c>
      <c r="G32" s="39">
        <f>IF(G30=0,0,VLOOKUP(G30,Tables!$G$3:$H$152,2,TRUE))</f>
        <v>310</v>
      </c>
      <c r="H32" s="35">
        <f>G32</f>
        <v>310</v>
      </c>
      <c r="I32" s="139">
        <f>ROUNDDOWN(0.14354*(100*I30-220)^1.4,0)</f>
        <v>220</v>
      </c>
      <c r="J32" s="138">
        <f>G33+I32</f>
        <v>530</v>
      </c>
      <c r="K32" s="139">
        <f>ROUNDDOWN(0.8465*(100*K30-75)^1.42,0)</f>
        <v>257</v>
      </c>
      <c r="L32" s="18">
        <f>I33+K32</f>
        <v>787</v>
      </c>
      <c r="M32" s="139">
        <f>ROUNDDOWN(51.39*(M30-1.5)^1.05,0)</f>
        <v>273</v>
      </c>
      <c r="N32" s="19">
        <f>K33+M32</f>
        <v>1060</v>
      </c>
      <c r="O32" s="14"/>
      <c r="P32" s="14"/>
      <c r="Q32" s="140">
        <f>IF(O30+Q30=0,0,TRUNC(0.232*((200-(O30*60+Q30))^1.85)))</f>
        <v>304</v>
      </c>
      <c r="R32" s="29">
        <f>M33+Q32</f>
        <v>1364</v>
      </c>
      <c r="U32" s="38"/>
    </row>
    <row r="33" spans="1:23" ht="14.25" customHeight="1">
      <c r="A33" s="33"/>
      <c r="B33" s="76"/>
      <c r="C33" s="8"/>
      <c r="D33" s="8"/>
      <c r="E33" s="8"/>
      <c r="F33" s="26">
        <v>12</v>
      </c>
      <c r="G33" s="15">
        <f>G32</f>
        <v>310</v>
      </c>
      <c r="H33" s="36">
        <f>G32</f>
        <v>310</v>
      </c>
      <c r="I33" s="15">
        <f>G33+I32</f>
        <v>530</v>
      </c>
      <c r="J33" s="138">
        <f>G33+I32</f>
        <v>530</v>
      </c>
      <c r="K33" s="15">
        <f>I33+K32</f>
        <v>787</v>
      </c>
      <c r="L33" s="15">
        <f>I33+K32</f>
        <v>787</v>
      </c>
      <c r="M33" s="15">
        <f>K33+M32</f>
        <v>1060</v>
      </c>
      <c r="N33" s="19">
        <f>K33+M32</f>
        <v>1060</v>
      </c>
      <c r="O33" s="15"/>
      <c r="P33" s="15"/>
      <c r="Q33" s="24">
        <f>M33+Q32</f>
        <v>1364</v>
      </c>
      <c r="R33" s="29">
        <f>M33+Q32</f>
        <v>1364</v>
      </c>
      <c r="W33" s="22"/>
    </row>
    <row r="34" spans="1:19" ht="14.25" customHeight="1">
      <c r="A34" s="31"/>
      <c r="B34" s="73"/>
      <c r="C34" s="181">
        <v>707</v>
      </c>
      <c r="D34" s="130" t="s">
        <v>129</v>
      </c>
      <c r="E34" s="91" t="s">
        <v>439</v>
      </c>
      <c r="F34" s="10">
        <v>5</v>
      </c>
      <c r="G34" s="82">
        <v>14.3</v>
      </c>
      <c r="H34" s="34">
        <f>G36</f>
        <v>372</v>
      </c>
      <c r="I34" s="83">
        <v>4.24</v>
      </c>
      <c r="J34" s="137">
        <f>G37+I36</f>
        <v>617</v>
      </c>
      <c r="K34" s="83">
        <v>1.37</v>
      </c>
      <c r="L34" s="18">
        <f>I37+K36</f>
        <v>914</v>
      </c>
      <c r="M34" s="83">
        <v>5.89</v>
      </c>
      <c r="N34" s="27">
        <f>K37+M36</f>
        <v>1156</v>
      </c>
      <c r="O34" s="88">
        <v>2</v>
      </c>
      <c r="P34" s="7" t="s">
        <v>25</v>
      </c>
      <c r="Q34" s="184" t="s">
        <v>380</v>
      </c>
      <c r="R34" s="28">
        <f>M37+Q36</f>
        <v>1227</v>
      </c>
      <c r="S34" s="20"/>
    </row>
    <row r="35" spans="1:19" ht="12.75" customHeight="1">
      <c r="A35" s="32">
        <v>6</v>
      </c>
      <c r="B35" s="74"/>
      <c r="E35" s="10"/>
      <c r="F35" s="26">
        <v>6</v>
      </c>
      <c r="G35" s="85"/>
      <c r="H35" s="35">
        <f>G36</f>
        <v>372</v>
      </c>
      <c r="I35" s="85"/>
      <c r="J35" s="138">
        <f>G37+I36</f>
        <v>617</v>
      </c>
      <c r="K35" s="14"/>
      <c r="L35" s="18">
        <f>I37+K36</f>
        <v>914</v>
      </c>
      <c r="M35" s="14"/>
      <c r="N35" s="19">
        <f>K37+M36</f>
        <v>1156</v>
      </c>
      <c r="O35" s="14"/>
      <c r="P35" s="14"/>
      <c r="Q35" s="14"/>
      <c r="R35" s="29">
        <f>M37+Q36</f>
        <v>1227</v>
      </c>
      <c r="S35" s="20"/>
    </row>
    <row r="36" spans="1:19" ht="14.25" customHeight="1">
      <c r="A36" s="32"/>
      <c r="B36" s="176">
        <v>3</v>
      </c>
      <c r="C36" s="11" t="s">
        <v>101</v>
      </c>
      <c r="D36" s="11"/>
      <c r="E36" s="25">
        <f>R34</f>
        <v>1227</v>
      </c>
      <c r="F36" s="26">
        <v>7</v>
      </c>
      <c r="G36" s="39">
        <f>IF(G34=0,0,VLOOKUP(G34,Tables!$G$3:$H$152,2,TRUE))</f>
        <v>372</v>
      </c>
      <c r="H36" s="35">
        <f>G36</f>
        <v>372</v>
      </c>
      <c r="I36" s="139">
        <f>ROUNDDOWN(0.14354*(100*I34-220)^1.4,0)</f>
        <v>245</v>
      </c>
      <c r="J36" s="138">
        <f>G37+I36</f>
        <v>617</v>
      </c>
      <c r="K36" s="139">
        <f>ROUNDDOWN(0.8465*(100*K34-75)^1.42,0)</f>
        <v>297</v>
      </c>
      <c r="L36" s="18">
        <f>I37+K36</f>
        <v>914</v>
      </c>
      <c r="M36" s="139">
        <f>ROUNDDOWN(51.39*(M34-1.5)^1.05,0)</f>
        <v>242</v>
      </c>
      <c r="N36" s="19">
        <f>K37+M36</f>
        <v>1156</v>
      </c>
      <c r="O36" s="14"/>
      <c r="P36" s="14"/>
      <c r="Q36" s="140">
        <f>IF(O34+Q34=0,0,TRUNC(0.232*((200-(O34*60+Q34))^1.85)))</f>
        <v>71</v>
      </c>
      <c r="R36" s="29">
        <f>M37+Q36</f>
        <v>1227</v>
      </c>
      <c r="S36" s="20"/>
    </row>
    <row r="37" spans="1:19" ht="14.25" customHeight="1">
      <c r="A37" s="33"/>
      <c r="B37" s="76"/>
      <c r="C37" s="8"/>
      <c r="D37" s="8"/>
      <c r="E37" s="8"/>
      <c r="F37" s="10">
        <v>8</v>
      </c>
      <c r="G37" s="15">
        <f>G36</f>
        <v>372</v>
      </c>
      <c r="H37" s="36">
        <f>G36</f>
        <v>372</v>
      </c>
      <c r="I37" s="15">
        <f>G37+I36</f>
        <v>617</v>
      </c>
      <c r="J37" s="138">
        <f>G37+I36</f>
        <v>617</v>
      </c>
      <c r="K37" s="15">
        <f>I37+K36</f>
        <v>914</v>
      </c>
      <c r="L37" s="15">
        <f>I37+K36</f>
        <v>914</v>
      </c>
      <c r="M37" s="15">
        <f>K37+M36</f>
        <v>1156</v>
      </c>
      <c r="N37" s="19">
        <f>K37+M36</f>
        <v>1156</v>
      </c>
      <c r="O37" s="15"/>
      <c r="P37" s="15"/>
      <c r="Q37" s="24">
        <f>M37+Q36</f>
        <v>1227</v>
      </c>
      <c r="R37" s="29">
        <f>M37+Q36</f>
        <v>1227</v>
      </c>
      <c r="S37" s="20"/>
    </row>
    <row r="38" spans="1:19" ht="14.25" customHeight="1">
      <c r="A38" s="31"/>
      <c r="B38" s="73"/>
      <c r="C38" s="181">
        <v>714</v>
      </c>
      <c r="D38" s="130" t="s">
        <v>134</v>
      </c>
      <c r="E38" s="91" t="s">
        <v>440</v>
      </c>
      <c r="F38" s="26">
        <v>33</v>
      </c>
      <c r="G38" s="82">
        <v>14.7</v>
      </c>
      <c r="H38" s="34">
        <f>G40</f>
        <v>340</v>
      </c>
      <c r="I38" s="83">
        <v>4.28</v>
      </c>
      <c r="J38" s="137">
        <f>G41+I40</f>
        <v>592</v>
      </c>
      <c r="K38" s="83">
        <v>1.34</v>
      </c>
      <c r="L38" s="18">
        <f>I41+K40</f>
        <v>868</v>
      </c>
      <c r="M38" s="83">
        <v>5.46</v>
      </c>
      <c r="N38" s="27">
        <f>K41+M40</f>
        <v>1086</v>
      </c>
      <c r="O38" s="88">
        <v>3</v>
      </c>
      <c r="P38" s="7" t="s">
        <v>25</v>
      </c>
      <c r="Q38" s="184" t="s">
        <v>434</v>
      </c>
      <c r="R38" s="28">
        <f>M41+Q40</f>
        <v>1086</v>
      </c>
      <c r="S38" s="20"/>
    </row>
    <row r="39" spans="1:19" ht="12.75" customHeight="1">
      <c r="A39" s="32">
        <v>7</v>
      </c>
      <c r="B39" s="74"/>
      <c r="E39" s="10"/>
      <c r="F39" s="26">
        <v>34</v>
      </c>
      <c r="G39" s="85"/>
      <c r="H39" s="35">
        <f>G40</f>
        <v>340</v>
      </c>
      <c r="I39" s="85"/>
      <c r="J39" s="138">
        <f>G41+I40</f>
        <v>592</v>
      </c>
      <c r="K39" s="14"/>
      <c r="L39" s="18">
        <f>I41+K40</f>
        <v>868</v>
      </c>
      <c r="M39" s="14"/>
      <c r="N39" s="19">
        <f>K41+M40</f>
        <v>1086</v>
      </c>
      <c r="O39" s="14"/>
      <c r="P39" s="14"/>
      <c r="Q39" s="14"/>
      <c r="R39" s="29">
        <f>M41+Q40</f>
        <v>1086</v>
      </c>
      <c r="S39" s="20"/>
    </row>
    <row r="40" spans="1:19" ht="14.25" customHeight="1">
      <c r="A40" s="32"/>
      <c r="B40" s="176"/>
      <c r="C40" s="11" t="s">
        <v>144</v>
      </c>
      <c r="D40" s="11"/>
      <c r="E40" s="25">
        <f>R38</f>
        <v>1086</v>
      </c>
      <c r="F40" s="10">
        <v>35</v>
      </c>
      <c r="G40" s="39">
        <f>IF(G38=0,0,VLOOKUP(G38,Tables!$G$3:$H$152,2,TRUE))</f>
        <v>340</v>
      </c>
      <c r="H40" s="35">
        <f>G40</f>
        <v>340</v>
      </c>
      <c r="I40" s="139">
        <f>ROUNDDOWN(0.14354*(100*I38-220)^1.4,0)</f>
        <v>252</v>
      </c>
      <c r="J40" s="138">
        <f>G41+I40</f>
        <v>592</v>
      </c>
      <c r="K40" s="139">
        <f>ROUNDDOWN(0.8465*(100*K38-75)^1.42,0)</f>
        <v>276</v>
      </c>
      <c r="L40" s="18">
        <f>I41+K40</f>
        <v>868</v>
      </c>
      <c r="M40" s="139">
        <f>ROUNDDOWN(51.39*(M38-1.5)^1.05,0)</f>
        <v>218</v>
      </c>
      <c r="N40" s="19">
        <f>K41+M40</f>
        <v>1086</v>
      </c>
      <c r="O40" s="14"/>
      <c r="P40" s="14"/>
      <c r="Q40" s="140">
        <f>IF(O38+Q38=0,0,TRUNC(0.232*((200-(O38*60+Q38))^1.85)))</f>
        <v>0</v>
      </c>
      <c r="R40" s="29">
        <f>M41+Q40</f>
        <v>1086</v>
      </c>
      <c r="S40" s="20"/>
    </row>
    <row r="41" spans="1:19" ht="14.25" customHeight="1">
      <c r="A41" s="33"/>
      <c r="B41" s="76"/>
      <c r="C41" s="8"/>
      <c r="D41" s="8"/>
      <c r="E41" s="8"/>
      <c r="F41" s="26">
        <v>36</v>
      </c>
      <c r="G41" s="15">
        <f>G40</f>
        <v>340</v>
      </c>
      <c r="H41" s="36">
        <f>G40</f>
        <v>340</v>
      </c>
      <c r="I41" s="15">
        <f>G41+I40</f>
        <v>592</v>
      </c>
      <c r="J41" s="138">
        <f>G41+I40</f>
        <v>592</v>
      </c>
      <c r="K41" s="15">
        <f>I41+K40</f>
        <v>868</v>
      </c>
      <c r="L41" s="15">
        <f>I41+K40</f>
        <v>868</v>
      </c>
      <c r="M41" s="15">
        <f>K41+M40</f>
        <v>1086</v>
      </c>
      <c r="N41" s="19">
        <f>K41+M40</f>
        <v>1086</v>
      </c>
      <c r="O41" s="15"/>
      <c r="P41" s="15"/>
      <c r="Q41" s="24">
        <f>M41+Q40</f>
        <v>1086</v>
      </c>
      <c r="R41" s="29">
        <f>M41+Q40</f>
        <v>1086</v>
      </c>
      <c r="S41" s="20"/>
    </row>
    <row r="42" spans="1:19" ht="14.25" customHeight="1">
      <c r="A42" s="31"/>
      <c r="B42" s="73"/>
      <c r="C42" s="181">
        <v>715</v>
      </c>
      <c r="D42" s="130" t="s">
        <v>135</v>
      </c>
      <c r="E42" s="91" t="s">
        <v>442</v>
      </c>
      <c r="F42" s="26">
        <v>37</v>
      </c>
      <c r="G42" s="82">
        <v>16.5</v>
      </c>
      <c r="H42" s="34">
        <f>G44</f>
        <v>214</v>
      </c>
      <c r="I42" s="83">
        <v>3.85</v>
      </c>
      <c r="J42" s="137">
        <f>G45+I44</f>
        <v>396</v>
      </c>
      <c r="K42" s="83">
        <v>1.4</v>
      </c>
      <c r="L42" s="18">
        <f>I45+K44</f>
        <v>713</v>
      </c>
      <c r="M42" s="83">
        <v>5.36</v>
      </c>
      <c r="N42" s="27">
        <f>K45+M44</f>
        <v>925</v>
      </c>
      <c r="O42" s="88">
        <v>2</v>
      </c>
      <c r="P42" s="7" t="s">
        <v>25</v>
      </c>
      <c r="Q42" s="184" t="s">
        <v>432</v>
      </c>
      <c r="R42" s="28">
        <f>M45+Q44</f>
        <v>1057</v>
      </c>
      <c r="S42" s="20"/>
    </row>
    <row r="43" spans="1:19" ht="14.25" customHeight="1">
      <c r="A43" s="32">
        <v>8</v>
      </c>
      <c r="B43" s="74"/>
      <c r="E43" s="10"/>
      <c r="F43" s="10">
        <v>38</v>
      </c>
      <c r="G43" s="85"/>
      <c r="H43" s="35">
        <f>G44</f>
        <v>214</v>
      </c>
      <c r="I43" s="85"/>
      <c r="J43" s="138">
        <f>G45+I44</f>
        <v>396</v>
      </c>
      <c r="K43" s="14"/>
      <c r="L43" s="18">
        <f>I45+K44</f>
        <v>713</v>
      </c>
      <c r="M43" s="14"/>
      <c r="N43" s="19">
        <f>K45+M44</f>
        <v>925</v>
      </c>
      <c r="O43" s="14"/>
      <c r="P43" s="14"/>
      <c r="Q43" s="14"/>
      <c r="R43" s="29">
        <f>M45+Q44</f>
        <v>1057</v>
      </c>
      <c r="S43" s="20"/>
    </row>
    <row r="44" spans="1:19" ht="14.25" customHeight="1">
      <c r="A44" s="32"/>
      <c r="B44" s="131"/>
      <c r="C44" s="11" t="s">
        <v>144</v>
      </c>
      <c r="D44" s="11"/>
      <c r="E44" s="25">
        <f>R42</f>
        <v>1057</v>
      </c>
      <c r="F44" s="26">
        <v>39</v>
      </c>
      <c r="G44" s="39">
        <f>IF(G42=0,0,VLOOKUP(G42,Tables!$G$3:$H$152,2,TRUE))</f>
        <v>214</v>
      </c>
      <c r="H44" s="35">
        <f>G44</f>
        <v>214</v>
      </c>
      <c r="I44" s="139">
        <f>ROUNDDOWN(0.14354*(100*I42-220)^1.4,0)</f>
        <v>182</v>
      </c>
      <c r="J44" s="138">
        <f>G45+I44</f>
        <v>396</v>
      </c>
      <c r="K44" s="139">
        <f>ROUNDDOWN(0.8465*(100*K42-75)^1.42,0)</f>
        <v>317</v>
      </c>
      <c r="L44" s="18">
        <f>I45+K44</f>
        <v>713</v>
      </c>
      <c r="M44" s="139">
        <f>ROUNDDOWN(51.39*(M42-1.5)^1.05,0)</f>
        <v>212</v>
      </c>
      <c r="N44" s="19">
        <f>K45+M44</f>
        <v>925</v>
      </c>
      <c r="O44" s="14"/>
      <c r="P44" s="14"/>
      <c r="Q44" s="140">
        <f>IF(O42+Q42=0,0,TRUNC(0.232*((200-(O42*60+Q42))^1.85)))</f>
        <v>132</v>
      </c>
      <c r="R44" s="29">
        <f>M45+Q44</f>
        <v>1057</v>
      </c>
      <c r="S44" s="20"/>
    </row>
    <row r="45" spans="1:19" ht="14.25" customHeight="1">
      <c r="A45" s="33"/>
      <c r="B45" s="76"/>
      <c r="C45" s="8"/>
      <c r="D45" s="8"/>
      <c r="E45" s="8"/>
      <c r="F45" s="26">
        <v>40</v>
      </c>
      <c r="G45" s="15">
        <f>G44</f>
        <v>214</v>
      </c>
      <c r="H45" s="36">
        <f>G44</f>
        <v>214</v>
      </c>
      <c r="I45" s="15">
        <f>G45+I44</f>
        <v>396</v>
      </c>
      <c r="J45" s="138">
        <f>G45+I44</f>
        <v>396</v>
      </c>
      <c r="K45" s="15">
        <f>I45+K44</f>
        <v>713</v>
      </c>
      <c r="L45" s="15">
        <f>I45+K44</f>
        <v>713</v>
      </c>
      <c r="M45" s="15">
        <f>K45+M44</f>
        <v>925</v>
      </c>
      <c r="N45" s="19">
        <f>K45+M44</f>
        <v>925</v>
      </c>
      <c r="O45" s="15"/>
      <c r="P45" s="15"/>
      <c r="Q45" s="24">
        <f>M45+Q44</f>
        <v>1057</v>
      </c>
      <c r="R45" s="29">
        <f>M45+Q44</f>
        <v>1057</v>
      </c>
      <c r="S45" s="20"/>
    </row>
    <row r="46" spans="1:19" ht="14.25" customHeight="1">
      <c r="A46" s="31"/>
      <c r="B46" s="73"/>
      <c r="C46" s="181">
        <v>709</v>
      </c>
      <c r="D46" s="130" t="s">
        <v>131</v>
      </c>
      <c r="E46" s="91" t="s">
        <v>443</v>
      </c>
      <c r="F46" s="26">
        <v>13</v>
      </c>
      <c r="G46" s="82">
        <v>16.1</v>
      </c>
      <c r="H46" s="34">
        <f>G48</f>
        <v>240</v>
      </c>
      <c r="I46" s="83">
        <v>3.75</v>
      </c>
      <c r="J46" s="137">
        <f>G49+I48</f>
        <v>407</v>
      </c>
      <c r="K46" s="83">
        <v>1.22</v>
      </c>
      <c r="L46" s="18">
        <f>I49+K48</f>
        <v>607</v>
      </c>
      <c r="M46" s="83">
        <v>4.89</v>
      </c>
      <c r="N46" s="27">
        <f>K49+M48</f>
        <v>792</v>
      </c>
      <c r="O46" s="88">
        <v>2</v>
      </c>
      <c r="P46" s="7" t="s">
        <v>25</v>
      </c>
      <c r="Q46" s="184" t="s">
        <v>430</v>
      </c>
      <c r="R46" s="28">
        <f>M49+Q48</f>
        <v>991</v>
      </c>
      <c r="S46" s="20"/>
    </row>
    <row r="47" spans="1:18" ht="14.25" customHeight="1">
      <c r="A47" s="32">
        <v>9</v>
      </c>
      <c r="B47" s="74"/>
      <c r="E47" s="10"/>
      <c r="F47" s="10">
        <v>14</v>
      </c>
      <c r="G47" s="85"/>
      <c r="H47" s="35">
        <f>G48</f>
        <v>240</v>
      </c>
      <c r="I47" s="85"/>
      <c r="J47" s="138">
        <f>G49+I48</f>
        <v>407</v>
      </c>
      <c r="K47" s="14"/>
      <c r="L47" s="18">
        <f>I49+K48</f>
        <v>607</v>
      </c>
      <c r="M47" s="14"/>
      <c r="N47" s="19">
        <f>K49+M48</f>
        <v>792</v>
      </c>
      <c r="O47" s="14"/>
      <c r="P47" s="14"/>
      <c r="Q47" s="14"/>
      <c r="R47" s="29">
        <f>M49+Q48</f>
        <v>991</v>
      </c>
    </row>
    <row r="48" spans="1:18" ht="14.25" customHeight="1">
      <c r="A48" s="32"/>
      <c r="B48" s="131"/>
      <c r="C48" s="11" t="s">
        <v>101</v>
      </c>
      <c r="D48" s="11"/>
      <c r="E48" s="25">
        <f>R46</f>
        <v>991</v>
      </c>
      <c r="F48" s="26">
        <v>15</v>
      </c>
      <c r="G48" s="39">
        <f>IF(G46=0,0,VLOOKUP(G46,Tables!$G$3:$H$152,2,TRUE))</f>
        <v>240</v>
      </c>
      <c r="H48" s="35">
        <f>G48</f>
        <v>240</v>
      </c>
      <c r="I48" s="139">
        <f>ROUNDDOWN(0.14354*(100*I46-220)^1.4,0)</f>
        <v>167</v>
      </c>
      <c r="J48" s="138">
        <f>G49+I48</f>
        <v>407</v>
      </c>
      <c r="K48" s="139">
        <f>ROUNDDOWN(0.8465*(100*K46-75)^1.42,0)</f>
        <v>200</v>
      </c>
      <c r="L48" s="18">
        <f>I49+K48</f>
        <v>607</v>
      </c>
      <c r="M48" s="139">
        <f>ROUNDDOWN(51.39*(M46-1.5)^1.05,0)</f>
        <v>185</v>
      </c>
      <c r="N48" s="19">
        <f>K49+M48</f>
        <v>792</v>
      </c>
      <c r="O48" s="14"/>
      <c r="P48" s="14"/>
      <c r="Q48" s="140">
        <f>IF(O46+Q46=0,0,TRUNC(0.232*((200-(O46*60+Q46))^1.85)))</f>
        <v>199</v>
      </c>
      <c r="R48" s="29">
        <f>M49+Q48</f>
        <v>991</v>
      </c>
    </row>
    <row r="49" spans="1:18" ht="14.25" customHeight="1">
      <c r="A49" s="33"/>
      <c r="B49" s="76"/>
      <c r="C49" s="8"/>
      <c r="D49" s="8"/>
      <c r="E49" s="8"/>
      <c r="F49" s="26">
        <v>16</v>
      </c>
      <c r="G49" s="15">
        <f>G48</f>
        <v>240</v>
      </c>
      <c r="H49" s="36">
        <f>G48</f>
        <v>240</v>
      </c>
      <c r="I49" s="15">
        <f>G49+I48</f>
        <v>407</v>
      </c>
      <c r="J49" s="138">
        <f>G49+I48</f>
        <v>407</v>
      </c>
      <c r="K49" s="15">
        <f>I49+K48</f>
        <v>607</v>
      </c>
      <c r="L49" s="15">
        <f>I49+K48</f>
        <v>607</v>
      </c>
      <c r="M49" s="15">
        <f>K49+M48</f>
        <v>792</v>
      </c>
      <c r="N49" s="19">
        <f>K49+M48</f>
        <v>792</v>
      </c>
      <c r="O49" s="15"/>
      <c r="P49" s="15"/>
      <c r="Q49" s="24">
        <f>M49+Q48</f>
        <v>991</v>
      </c>
      <c r="R49" s="29">
        <f>M49+Q48</f>
        <v>991</v>
      </c>
    </row>
    <row r="50" spans="1:18" ht="14.25" customHeight="1">
      <c r="A50" s="31"/>
      <c r="B50" s="73"/>
      <c r="C50" s="181">
        <v>712</v>
      </c>
      <c r="D50" s="130" t="s">
        <v>148</v>
      </c>
      <c r="E50" s="91" t="s">
        <v>444</v>
      </c>
      <c r="F50" s="26">
        <v>25</v>
      </c>
      <c r="G50" s="82">
        <v>17.8</v>
      </c>
      <c r="H50" s="34">
        <f>G52</f>
        <v>139</v>
      </c>
      <c r="I50" s="83">
        <v>2.83</v>
      </c>
      <c r="J50" s="137">
        <f>G53+I52</f>
        <v>186</v>
      </c>
      <c r="K50" s="83">
        <v>1.19</v>
      </c>
      <c r="L50" s="18">
        <f>I53+K52</f>
        <v>368</v>
      </c>
      <c r="M50" s="83">
        <v>7.05</v>
      </c>
      <c r="N50" s="27">
        <f>K53+M52</f>
        <v>678</v>
      </c>
      <c r="O50" s="88">
        <v>2</v>
      </c>
      <c r="P50" s="7" t="s">
        <v>25</v>
      </c>
      <c r="Q50" s="184" t="s">
        <v>426</v>
      </c>
      <c r="R50" s="28">
        <f>M53+Q52</f>
        <v>962</v>
      </c>
    </row>
    <row r="51" spans="1:18" ht="14.25" customHeight="1">
      <c r="A51" s="32">
        <v>10</v>
      </c>
      <c r="B51" s="74"/>
      <c r="E51" s="10"/>
      <c r="F51" s="10">
        <v>26</v>
      </c>
      <c r="G51" s="85"/>
      <c r="H51" s="35">
        <f>G52</f>
        <v>139</v>
      </c>
      <c r="I51" s="85"/>
      <c r="J51" s="138">
        <f>G53+I52</f>
        <v>186</v>
      </c>
      <c r="K51" s="14"/>
      <c r="L51" s="18">
        <f>I53+K52</f>
        <v>368</v>
      </c>
      <c r="M51" s="14"/>
      <c r="N51" s="19">
        <f>K53+M52</f>
        <v>678</v>
      </c>
      <c r="O51" s="14"/>
      <c r="P51" s="14"/>
      <c r="Q51" s="14"/>
      <c r="R51" s="29">
        <f>M53+Q52</f>
        <v>962</v>
      </c>
    </row>
    <row r="52" spans="1:18" ht="14.25" customHeight="1">
      <c r="A52" s="32"/>
      <c r="B52" s="131"/>
      <c r="C52" s="11" t="s">
        <v>142</v>
      </c>
      <c r="D52" s="11"/>
      <c r="E52" s="25">
        <f>R50</f>
        <v>962</v>
      </c>
      <c r="F52" s="26">
        <v>27</v>
      </c>
      <c r="G52" s="39">
        <f>IF(G50=0,0,VLOOKUP(G50,Tables!$G$3:$H$152,2,TRUE))</f>
        <v>139</v>
      </c>
      <c r="H52" s="35">
        <f>G52</f>
        <v>139</v>
      </c>
      <c r="I52" s="139">
        <f>ROUNDDOWN(0.14354*(100*I50-220)^1.4,0)</f>
        <v>47</v>
      </c>
      <c r="J52" s="138">
        <f>G53+I52</f>
        <v>186</v>
      </c>
      <c r="K52" s="139">
        <f>ROUNDDOWN(0.8465*(100*K50-75)^1.42,0)</f>
        <v>182</v>
      </c>
      <c r="L52" s="18">
        <f>I53+K52</f>
        <v>368</v>
      </c>
      <c r="M52" s="139">
        <f>ROUNDDOWN(51.39*(M50-1.5)^1.05,0)</f>
        <v>310</v>
      </c>
      <c r="N52" s="19">
        <f>K53+M52</f>
        <v>678</v>
      </c>
      <c r="O52" s="14"/>
      <c r="P52" s="14"/>
      <c r="Q52" s="140">
        <f>IF(O50+Q50=0,0,TRUNC(0.232*((200-(O50*60+Q50))^1.85)))</f>
        <v>284</v>
      </c>
      <c r="R52" s="29">
        <f>M53+Q52</f>
        <v>962</v>
      </c>
    </row>
    <row r="53" spans="1:18" ht="14.25" customHeight="1">
      <c r="A53" s="33"/>
      <c r="B53" s="76"/>
      <c r="C53" s="8"/>
      <c r="D53" s="8"/>
      <c r="E53" s="8"/>
      <c r="F53" s="26">
        <v>28</v>
      </c>
      <c r="G53" s="15">
        <f>G52</f>
        <v>139</v>
      </c>
      <c r="H53" s="36">
        <f>G52</f>
        <v>139</v>
      </c>
      <c r="I53" s="15">
        <f>G53+I52</f>
        <v>186</v>
      </c>
      <c r="J53" s="138">
        <f>G53+I52</f>
        <v>186</v>
      </c>
      <c r="K53" s="15">
        <f>I53+K52</f>
        <v>368</v>
      </c>
      <c r="L53" s="15">
        <f>I53+K52</f>
        <v>368</v>
      </c>
      <c r="M53" s="15">
        <f>K53+M52</f>
        <v>678</v>
      </c>
      <c r="N53" s="19">
        <f>K53+M52</f>
        <v>678</v>
      </c>
      <c r="O53" s="15"/>
      <c r="P53" s="15"/>
      <c r="Q53" s="24">
        <f>M53+Q52</f>
        <v>962</v>
      </c>
      <c r="R53" s="29">
        <f>M53+Q52</f>
        <v>962</v>
      </c>
    </row>
    <row r="54" spans="1:18" ht="14.25" customHeight="1">
      <c r="A54" s="31"/>
      <c r="B54" s="73"/>
      <c r="C54" s="181">
        <v>719</v>
      </c>
      <c r="D54" s="130" t="s">
        <v>139</v>
      </c>
      <c r="E54" s="91" t="s">
        <v>446</v>
      </c>
      <c r="F54" s="10">
        <v>53</v>
      </c>
      <c r="G54" s="82">
        <v>17.6</v>
      </c>
      <c r="H54" s="34">
        <f>G56</f>
        <v>150</v>
      </c>
      <c r="I54" s="83">
        <v>3.2</v>
      </c>
      <c r="J54" s="137">
        <f>G57+I56</f>
        <v>240</v>
      </c>
      <c r="K54" s="83">
        <v>1.04</v>
      </c>
      <c r="L54" s="18">
        <f>I57+K56</f>
        <v>340</v>
      </c>
      <c r="M54" s="83">
        <v>5.43</v>
      </c>
      <c r="N54" s="27">
        <f>K57+M56</f>
        <v>556</v>
      </c>
      <c r="O54" s="88">
        <v>2</v>
      </c>
      <c r="P54" s="7" t="s">
        <v>25</v>
      </c>
      <c r="Q54" s="184" t="s">
        <v>428</v>
      </c>
      <c r="R54" s="28">
        <f>M57+Q56</f>
        <v>830</v>
      </c>
    </row>
    <row r="55" spans="1:18" ht="14.25" customHeight="1">
      <c r="A55" s="32">
        <v>11</v>
      </c>
      <c r="B55" s="74"/>
      <c r="E55" s="10"/>
      <c r="F55" s="26">
        <v>54</v>
      </c>
      <c r="G55" s="85"/>
      <c r="H55" s="35">
        <f>G56</f>
        <v>150</v>
      </c>
      <c r="I55" s="85"/>
      <c r="J55" s="138">
        <f>G57+I56</f>
        <v>240</v>
      </c>
      <c r="K55" s="14"/>
      <c r="L55" s="18">
        <f>I57+K56</f>
        <v>340</v>
      </c>
      <c r="M55" s="14"/>
      <c r="N55" s="19">
        <f>K57+M56</f>
        <v>556</v>
      </c>
      <c r="O55" s="14"/>
      <c r="P55" s="14"/>
      <c r="Q55" s="14"/>
      <c r="R55" s="29">
        <f>M57+Q56</f>
        <v>830</v>
      </c>
    </row>
    <row r="56" spans="1:18" ht="14.25" customHeight="1">
      <c r="A56" s="32"/>
      <c r="B56" s="131"/>
      <c r="C56" s="11" t="s">
        <v>142</v>
      </c>
      <c r="D56" s="11"/>
      <c r="E56" s="25">
        <f>R54</f>
        <v>830</v>
      </c>
      <c r="F56" s="26">
        <v>55</v>
      </c>
      <c r="G56" s="39">
        <f>IF(G54=0,0,VLOOKUP(G54,Tables!$G$3:$H$152,2,TRUE))</f>
        <v>150</v>
      </c>
      <c r="H56" s="35">
        <f>G56</f>
        <v>150</v>
      </c>
      <c r="I56" s="139">
        <f>ROUNDDOWN(0.14354*(100*I54-220)^1.4,0)</f>
        <v>90</v>
      </c>
      <c r="J56" s="138">
        <f>G57+I56</f>
        <v>240</v>
      </c>
      <c r="K56" s="139">
        <f>ROUNDDOWN(0.8465*(100*K54-75)^1.42,0)</f>
        <v>100</v>
      </c>
      <c r="L56" s="18">
        <f>I57+K56</f>
        <v>340</v>
      </c>
      <c r="M56" s="139">
        <f>ROUNDDOWN(51.39*(M54-1.5)^1.05,0)</f>
        <v>216</v>
      </c>
      <c r="N56" s="19">
        <f>K57+M56</f>
        <v>556</v>
      </c>
      <c r="O56" s="14"/>
      <c r="P56" s="14"/>
      <c r="Q56" s="140">
        <f>IF(O54+Q54=0,0,TRUNC(0.232*((200-(O54*60+Q54))^1.85)))</f>
        <v>274</v>
      </c>
      <c r="R56" s="29">
        <f>M57+Q56</f>
        <v>830</v>
      </c>
    </row>
    <row r="57" spans="1:19" ht="14.25" customHeight="1">
      <c r="A57" s="33"/>
      <c r="B57" s="76"/>
      <c r="C57" s="8"/>
      <c r="D57" s="8"/>
      <c r="E57" s="8"/>
      <c r="F57" s="10">
        <v>56</v>
      </c>
      <c r="G57" s="15">
        <f>G56</f>
        <v>150</v>
      </c>
      <c r="H57" s="36">
        <f>G56</f>
        <v>150</v>
      </c>
      <c r="I57" s="15">
        <f>G57+I56</f>
        <v>240</v>
      </c>
      <c r="J57" s="138">
        <f>G57+I56</f>
        <v>240</v>
      </c>
      <c r="K57" s="15">
        <f>I57+K56</f>
        <v>340</v>
      </c>
      <c r="L57" s="15">
        <f>I57+K56</f>
        <v>340</v>
      </c>
      <c r="M57" s="15">
        <f>K57+M56</f>
        <v>556</v>
      </c>
      <c r="N57" s="19">
        <f>K57+M56</f>
        <v>556</v>
      </c>
      <c r="O57" s="15"/>
      <c r="P57" s="15"/>
      <c r="Q57" s="24">
        <f>M57+Q56</f>
        <v>830</v>
      </c>
      <c r="R57" s="29">
        <f>M57+Q56</f>
        <v>830</v>
      </c>
      <c r="S57" s="20"/>
    </row>
    <row r="58" spans="1:19" ht="14.25" customHeight="1">
      <c r="A58" s="31"/>
      <c r="B58" s="73"/>
      <c r="C58" s="181">
        <v>713</v>
      </c>
      <c r="D58" s="130" t="s">
        <v>133</v>
      </c>
      <c r="E58" s="91" t="s">
        <v>445</v>
      </c>
      <c r="F58" s="10">
        <v>29</v>
      </c>
      <c r="G58" s="82">
        <v>29.1</v>
      </c>
      <c r="H58" s="34">
        <f>G60</f>
        <v>0</v>
      </c>
      <c r="I58" s="83">
        <v>4</v>
      </c>
      <c r="J58" s="137">
        <f>G61+I60</f>
        <v>206</v>
      </c>
      <c r="K58" s="83">
        <v>1.22</v>
      </c>
      <c r="L58" s="18">
        <f>I61+K60</f>
        <v>406</v>
      </c>
      <c r="M58" s="83">
        <v>5.94</v>
      </c>
      <c r="N58" s="27">
        <f>K61+M60</f>
        <v>651</v>
      </c>
      <c r="O58" s="88">
        <v>3</v>
      </c>
      <c r="P58" s="7" t="s">
        <v>25</v>
      </c>
      <c r="Q58" s="184" t="s">
        <v>433</v>
      </c>
      <c r="R58" s="28">
        <f>M61+Q60</f>
        <v>651</v>
      </c>
      <c r="S58" s="20"/>
    </row>
    <row r="59" spans="1:19" ht="14.25" customHeight="1">
      <c r="A59" s="32">
        <v>12</v>
      </c>
      <c r="B59" s="74"/>
      <c r="E59" s="10"/>
      <c r="F59" s="26">
        <v>30</v>
      </c>
      <c r="G59" s="85"/>
      <c r="H59" s="35">
        <f>G60</f>
        <v>0</v>
      </c>
      <c r="I59" s="85"/>
      <c r="J59" s="138">
        <f>G61+I60</f>
        <v>206</v>
      </c>
      <c r="K59" s="14"/>
      <c r="L59" s="18">
        <f>I61+K60</f>
        <v>406</v>
      </c>
      <c r="M59" s="14"/>
      <c r="N59" s="19">
        <f>K61+M60</f>
        <v>651</v>
      </c>
      <c r="O59" s="14"/>
      <c r="P59" s="14"/>
      <c r="Q59" s="14"/>
      <c r="R59" s="29">
        <f>M61+Q60</f>
        <v>651</v>
      </c>
      <c r="S59" s="20"/>
    </row>
    <row r="60" spans="1:19" ht="14.25" customHeight="1">
      <c r="A60" s="32"/>
      <c r="B60" s="131"/>
      <c r="C60" s="11" t="s">
        <v>143</v>
      </c>
      <c r="D60" s="11"/>
      <c r="E60" s="25">
        <f>R58</f>
        <v>651</v>
      </c>
      <c r="F60" s="26">
        <v>31</v>
      </c>
      <c r="G60" s="39">
        <v>0</v>
      </c>
      <c r="H60" s="35">
        <f>G60</f>
        <v>0</v>
      </c>
      <c r="I60" s="139">
        <f>ROUNDDOWN(0.14354*(100*I58-220)^1.4,0)</f>
        <v>206</v>
      </c>
      <c r="J60" s="138">
        <f>G61+I60</f>
        <v>206</v>
      </c>
      <c r="K60" s="139">
        <f>ROUNDDOWN(0.8465*(100*K58-75)^1.42,0)</f>
        <v>200</v>
      </c>
      <c r="L60" s="18">
        <f>I61+K60</f>
        <v>406</v>
      </c>
      <c r="M60" s="139">
        <f>ROUNDDOWN(51.39*(M58-1.5)^1.05,0)</f>
        <v>245</v>
      </c>
      <c r="N60" s="19">
        <f>K61+M60</f>
        <v>651</v>
      </c>
      <c r="O60" s="14"/>
      <c r="P60" s="14"/>
      <c r="Q60" s="140">
        <v>0</v>
      </c>
      <c r="R60" s="29">
        <f>M61+Q60</f>
        <v>651</v>
      </c>
      <c r="S60" s="20"/>
    </row>
    <row r="61" spans="1:19" ht="14.25" customHeight="1">
      <c r="A61" s="33"/>
      <c r="B61" s="76"/>
      <c r="C61" s="8"/>
      <c r="D61" s="8"/>
      <c r="E61" s="8"/>
      <c r="F61" s="10">
        <v>32</v>
      </c>
      <c r="G61" s="15">
        <f>G60</f>
        <v>0</v>
      </c>
      <c r="H61" s="36">
        <f>G60</f>
        <v>0</v>
      </c>
      <c r="I61" s="15">
        <f>G61+I60</f>
        <v>206</v>
      </c>
      <c r="J61" s="138">
        <f>G61+I60</f>
        <v>206</v>
      </c>
      <c r="K61" s="15">
        <f>I61+K60</f>
        <v>406</v>
      </c>
      <c r="L61" s="15">
        <f>I61+K60</f>
        <v>406</v>
      </c>
      <c r="M61" s="15">
        <f>K61+M60</f>
        <v>651</v>
      </c>
      <c r="N61" s="19">
        <f>K61+M60</f>
        <v>651</v>
      </c>
      <c r="O61" s="15"/>
      <c r="P61" s="15"/>
      <c r="Q61" s="24">
        <f>M61+Q60</f>
        <v>651</v>
      </c>
      <c r="R61" s="29">
        <f>M61+Q60</f>
        <v>651</v>
      </c>
      <c r="S61" s="20"/>
    </row>
    <row r="62" spans="1:23" ht="14.25" customHeight="1">
      <c r="A62" s="31"/>
      <c r="B62" s="73"/>
      <c r="C62" s="181">
        <v>706</v>
      </c>
      <c r="D62" s="130" t="s">
        <v>127</v>
      </c>
      <c r="E62" s="91" t="s">
        <v>447</v>
      </c>
      <c r="F62" s="26">
        <v>1</v>
      </c>
      <c r="G62" s="82">
        <v>19.3</v>
      </c>
      <c r="H62" s="34">
        <f>G64</f>
        <v>72</v>
      </c>
      <c r="I62" s="83">
        <v>3.19</v>
      </c>
      <c r="J62" s="137">
        <f>G65+I64</f>
        <v>161</v>
      </c>
      <c r="K62" s="83">
        <v>1.13</v>
      </c>
      <c r="L62" s="18">
        <f>I65+K64</f>
        <v>309</v>
      </c>
      <c r="M62" s="83">
        <v>5.57</v>
      </c>
      <c r="N62" s="27">
        <f>K65+M64</f>
        <v>533</v>
      </c>
      <c r="O62" s="88">
        <v>3</v>
      </c>
      <c r="P62" s="7" t="s">
        <v>25</v>
      </c>
      <c r="Q62" s="184" t="s">
        <v>435</v>
      </c>
      <c r="R62" s="28">
        <f>M65+Q64</f>
        <v>533</v>
      </c>
      <c r="S62" s="19"/>
      <c r="T62" s="7"/>
      <c r="V62" s="7"/>
      <c r="W62" s="7"/>
    </row>
    <row r="63" spans="1:23" ht="14.25" customHeight="1">
      <c r="A63" s="32">
        <v>13</v>
      </c>
      <c r="B63" s="74"/>
      <c r="E63" s="10"/>
      <c r="F63" s="10">
        <v>2</v>
      </c>
      <c r="G63" s="85"/>
      <c r="H63" s="35">
        <f>G64</f>
        <v>72</v>
      </c>
      <c r="I63" s="85"/>
      <c r="J63" s="138">
        <f>G65+I64</f>
        <v>161</v>
      </c>
      <c r="K63" s="14"/>
      <c r="L63" s="18">
        <f>I65+K64</f>
        <v>309</v>
      </c>
      <c r="M63" s="14"/>
      <c r="N63" s="19">
        <f>K65+M64</f>
        <v>533</v>
      </c>
      <c r="O63" s="14"/>
      <c r="P63" s="14"/>
      <c r="Q63" s="14"/>
      <c r="R63" s="29">
        <f>M65+Q64</f>
        <v>533</v>
      </c>
      <c r="S63" s="19"/>
      <c r="T63" s="7"/>
      <c r="V63" s="7"/>
      <c r="W63" s="7"/>
    </row>
    <row r="64" spans="1:23" ht="14.25" customHeight="1">
      <c r="A64" s="32"/>
      <c r="B64" s="131"/>
      <c r="C64" s="11" t="s">
        <v>128</v>
      </c>
      <c r="D64" s="11"/>
      <c r="E64" s="25">
        <f>R62</f>
        <v>533</v>
      </c>
      <c r="F64" s="26">
        <v>3</v>
      </c>
      <c r="G64" s="39">
        <f>IF(G62=0,0,VLOOKUP(G62,Tables!$G$3:$H$152,2,TRUE))</f>
        <v>72</v>
      </c>
      <c r="H64" s="35">
        <f>G64</f>
        <v>72</v>
      </c>
      <c r="I64" s="139">
        <f>ROUNDDOWN(0.14354*(100*I62-220)^1.4,0)</f>
        <v>89</v>
      </c>
      <c r="J64" s="138">
        <f>G65+I64</f>
        <v>161</v>
      </c>
      <c r="K64" s="139">
        <f>ROUNDDOWN(0.8465*(100*K62-75)^1.42,0)</f>
        <v>148</v>
      </c>
      <c r="L64" s="18">
        <f>I65+K64</f>
        <v>309</v>
      </c>
      <c r="M64" s="139">
        <f>ROUNDDOWN(51.39*(M62-1.5)^1.05,0)</f>
        <v>224</v>
      </c>
      <c r="N64" s="19">
        <f>K65+M64</f>
        <v>533</v>
      </c>
      <c r="O64" s="14"/>
      <c r="P64" s="14"/>
      <c r="Q64" s="140">
        <v>0</v>
      </c>
      <c r="R64" s="29">
        <f>M65+Q64</f>
        <v>533</v>
      </c>
      <c r="S64" s="19"/>
      <c r="T64" s="19"/>
      <c r="V64" s="19"/>
      <c r="W64" s="19"/>
    </row>
    <row r="65" spans="1:23" ht="14.25" customHeight="1">
      <c r="A65" s="33"/>
      <c r="B65" s="76"/>
      <c r="C65" s="8"/>
      <c r="D65" s="8"/>
      <c r="E65" s="8"/>
      <c r="F65" s="26">
        <v>4</v>
      </c>
      <c r="G65" s="15">
        <f>G64</f>
        <v>72</v>
      </c>
      <c r="H65" s="36">
        <f>G64</f>
        <v>72</v>
      </c>
      <c r="I65" s="15">
        <f>G65+I64</f>
        <v>161</v>
      </c>
      <c r="J65" s="138">
        <f>G65+I64</f>
        <v>161</v>
      </c>
      <c r="K65" s="15">
        <f>I65+K64</f>
        <v>309</v>
      </c>
      <c r="L65" s="15">
        <f>I65+K64</f>
        <v>309</v>
      </c>
      <c r="M65" s="15">
        <f>K65+M64</f>
        <v>533</v>
      </c>
      <c r="N65" s="19">
        <f>K65+M64</f>
        <v>533</v>
      </c>
      <c r="O65" s="15"/>
      <c r="P65" s="15"/>
      <c r="Q65" s="24">
        <f>M65+Q64</f>
        <v>533</v>
      </c>
      <c r="R65" s="29">
        <f>M65+Q64</f>
        <v>533</v>
      </c>
      <c r="S65" s="18"/>
      <c r="T65" s="18"/>
      <c r="V65" s="18"/>
      <c r="W65" s="18"/>
    </row>
    <row r="66" spans="1:23" ht="12.75" customHeight="1">
      <c r="A66" s="97"/>
      <c r="B66" s="73"/>
      <c r="C66" s="20"/>
      <c r="D66" s="20"/>
      <c r="E66" s="105"/>
      <c r="F66" s="105"/>
      <c r="G66" s="106"/>
      <c r="H66" s="35"/>
      <c r="I66" s="18"/>
      <c r="J66" s="35"/>
      <c r="K66" s="106"/>
      <c r="L66" s="18"/>
      <c r="M66" s="18"/>
      <c r="N66" s="19"/>
      <c r="O66" s="18"/>
      <c r="P66" s="18"/>
      <c r="Q66" s="18"/>
      <c r="R66" s="29"/>
      <c r="S66" s="18"/>
      <c r="T66" s="18"/>
      <c r="U66" s="38"/>
      <c r="V66" s="18"/>
      <c r="W66" s="18"/>
    </row>
    <row r="67" spans="1:23" ht="14.25" customHeight="1">
      <c r="A67" s="97"/>
      <c r="B67" s="107"/>
      <c r="C67" s="95"/>
      <c r="D67" s="95"/>
      <c r="E67" s="108"/>
      <c r="F67" s="109"/>
      <c r="G67" s="39"/>
      <c r="H67" s="35"/>
      <c r="I67" s="17"/>
      <c r="J67" s="35"/>
      <c r="K67" s="17"/>
      <c r="L67" s="18"/>
      <c r="M67" s="17"/>
      <c r="N67" s="19"/>
      <c r="O67" s="18"/>
      <c r="P67" s="18"/>
      <c r="Q67" s="23"/>
      <c r="R67" s="29"/>
      <c r="S67" s="18"/>
      <c r="T67" s="18"/>
      <c r="V67" s="18"/>
      <c r="W67" s="18"/>
    </row>
    <row r="68" spans="1:23" ht="14.25" customHeight="1">
      <c r="A68" s="97"/>
      <c r="B68" s="73"/>
      <c r="C68" s="20"/>
      <c r="D68" s="20"/>
      <c r="E68" s="20"/>
      <c r="F68" s="105"/>
      <c r="G68" s="18"/>
      <c r="H68" s="35"/>
      <c r="I68" s="18"/>
      <c r="J68" s="35"/>
      <c r="K68" s="18"/>
      <c r="L68" s="18"/>
      <c r="M68" s="18"/>
      <c r="N68" s="19"/>
      <c r="O68" s="18"/>
      <c r="P68" s="18"/>
      <c r="Q68" s="110"/>
      <c r="R68" s="29"/>
      <c r="S68" s="18"/>
      <c r="T68" s="18"/>
      <c r="V68" s="18"/>
      <c r="W68" s="18"/>
    </row>
    <row r="69" spans="1:23" ht="14.25" customHeight="1">
      <c r="A69" s="97"/>
      <c r="B69" s="73"/>
      <c r="C69" s="98"/>
      <c r="D69" s="95"/>
      <c r="E69" s="99"/>
      <c r="F69" s="100"/>
      <c r="G69" s="102"/>
      <c r="H69" s="35"/>
      <c r="I69" s="101"/>
      <c r="J69" s="35"/>
      <c r="K69" s="101"/>
      <c r="L69" s="18"/>
      <c r="M69" s="101"/>
      <c r="N69" s="19"/>
      <c r="O69" s="122"/>
      <c r="P69" s="19"/>
      <c r="Q69" s="104"/>
      <c r="R69" s="29"/>
      <c r="S69" s="20"/>
      <c r="T69" s="20"/>
      <c r="U69" s="16"/>
      <c r="V69" s="20"/>
      <c r="W69" s="20"/>
    </row>
    <row r="70" spans="1:19" ht="12.75" customHeight="1">
      <c r="A70" s="97"/>
      <c r="B70" s="73"/>
      <c r="C70" s="20"/>
      <c r="D70" s="20"/>
      <c r="E70" s="105"/>
      <c r="F70" s="105"/>
      <c r="G70" s="106"/>
      <c r="H70" s="35"/>
      <c r="I70" s="18"/>
      <c r="J70" s="35"/>
      <c r="K70" s="106"/>
      <c r="L70" s="18"/>
      <c r="M70" s="18"/>
      <c r="N70" s="19"/>
      <c r="O70" s="18"/>
      <c r="P70" s="18"/>
      <c r="Q70" s="18"/>
      <c r="R70" s="29"/>
      <c r="S70" s="20"/>
    </row>
    <row r="71" spans="1:19" ht="14.25" customHeight="1">
      <c r="A71" s="97"/>
      <c r="B71" s="111"/>
      <c r="C71" s="95"/>
      <c r="D71" s="95"/>
      <c r="E71" s="108"/>
      <c r="F71" s="109"/>
      <c r="G71" s="39"/>
      <c r="H71" s="35"/>
      <c r="I71" s="17"/>
      <c r="J71" s="35"/>
      <c r="K71" s="17"/>
      <c r="L71" s="18"/>
      <c r="M71" s="17"/>
      <c r="N71" s="19"/>
      <c r="O71" s="18"/>
      <c r="P71" s="18"/>
      <c r="Q71" s="23"/>
      <c r="R71" s="29"/>
      <c r="S71" s="20"/>
    </row>
    <row r="72" spans="1:23" ht="14.25" customHeight="1">
      <c r="A72" s="97"/>
      <c r="B72" s="73"/>
      <c r="C72" s="20"/>
      <c r="D72" s="20"/>
      <c r="E72" s="20"/>
      <c r="F72" s="105"/>
      <c r="G72" s="18"/>
      <c r="H72" s="35"/>
      <c r="I72" s="18"/>
      <c r="J72" s="35"/>
      <c r="K72" s="18"/>
      <c r="L72" s="18"/>
      <c r="M72" s="18"/>
      <c r="N72" s="19"/>
      <c r="O72" s="18"/>
      <c r="P72" s="18"/>
      <c r="Q72" s="110"/>
      <c r="R72" s="29"/>
      <c r="S72" s="20"/>
      <c r="W72" s="22"/>
    </row>
    <row r="73" spans="1:19" ht="14.25" customHeight="1">
      <c r="A73" s="97"/>
      <c r="B73" s="73"/>
      <c r="C73" s="98"/>
      <c r="D73" s="95"/>
      <c r="E73" s="99"/>
      <c r="F73" s="100"/>
      <c r="G73" s="102"/>
      <c r="H73" s="35"/>
      <c r="I73" s="101"/>
      <c r="J73" s="35"/>
      <c r="K73" s="101"/>
      <c r="L73" s="18"/>
      <c r="M73" s="101"/>
      <c r="N73" s="19"/>
      <c r="O73" s="122"/>
      <c r="P73" s="19"/>
      <c r="Q73" s="104"/>
      <c r="R73" s="29"/>
      <c r="S73" s="20"/>
    </row>
    <row r="74" spans="1:20" ht="12.75" customHeight="1">
      <c r="A74" s="97"/>
      <c r="B74" s="73"/>
      <c r="C74" s="20"/>
      <c r="D74" s="20"/>
      <c r="E74" s="105"/>
      <c r="F74" s="105"/>
      <c r="G74" s="106"/>
      <c r="H74" s="35"/>
      <c r="I74" s="18"/>
      <c r="J74" s="35"/>
      <c r="K74" s="106"/>
      <c r="L74" s="18"/>
      <c r="M74" s="18"/>
      <c r="N74" s="19"/>
      <c r="O74" s="18"/>
      <c r="P74" s="18"/>
      <c r="Q74" s="18"/>
      <c r="R74" s="29"/>
      <c r="S74" s="20"/>
      <c r="T74" s="16"/>
    </row>
    <row r="75" spans="1:19" ht="14.25" customHeight="1">
      <c r="A75" s="97"/>
      <c r="B75" s="112"/>
      <c r="C75" s="95"/>
      <c r="D75" s="95"/>
      <c r="E75" s="108"/>
      <c r="F75" s="109"/>
      <c r="G75" s="39"/>
      <c r="H75" s="35"/>
      <c r="I75" s="17"/>
      <c r="J75" s="35"/>
      <c r="K75" s="17"/>
      <c r="L75" s="18"/>
      <c r="M75" s="17"/>
      <c r="N75" s="19"/>
      <c r="O75" s="18"/>
      <c r="P75" s="18"/>
      <c r="Q75" s="23"/>
      <c r="R75" s="29"/>
      <c r="S75" s="20"/>
    </row>
    <row r="76" spans="1:19" ht="14.25" customHeight="1">
      <c r="A76" s="97"/>
      <c r="B76" s="73"/>
      <c r="C76" s="20"/>
      <c r="D76" s="20"/>
      <c r="E76" s="20"/>
      <c r="F76" s="105"/>
      <c r="G76" s="18"/>
      <c r="H76" s="35"/>
      <c r="I76" s="18"/>
      <c r="J76" s="35"/>
      <c r="K76" s="18"/>
      <c r="L76" s="18"/>
      <c r="M76" s="18"/>
      <c r="N76" s="19"/>
      <c r="O76" s="18"/>
      <c r="P76" s="18"/>
      <c r="Q76" s="110"/>
      <c r="R76" s="29"/>
      <c r="S76" s="20"/>
    </row>
    <row r="77" spans="1:19" ht="14.25" customHeight="1">
      <c r="A77" s="97"/>
      <c r="B77" s="73"/>
      <c r="C77" s="98"/>
      <c r="D77" s="95"/>
      <c r="E77" s="99"/>
      <c r="F77" s="100"/>
      <c r="G77" s="102"/>
      <c r="H77" s="35"/>
      <c r="I77" s="101"/>
      <c r="J77" s="35"/>
      <c r="K77" s="101"/>
      <c r="L77" s="18"/>
      <c r="M77" s="101"/>
      <c r="N77" s="19"/>
      <c r="O77" s="122"/>
      <c r="P77" s="19"/>
      <c r="Q77" s="104"/>
      <c r="R77" s="29"/>
      <c r="S77" s="20"/>
    </row>
    <row r="78" spans="1:19" ht="12.75" customHeight="1">
      <c r="A78" s="97"/>
      <c r="B78" s="73"/>
      <c r="C78" s="20"/>
      <c r="D78" s="20"/>
      <c r="E78" s="105"/>
      <c r="F78" s="105"/>
      <c r="G78" s="106"/>
      <c r="H78" s="35"/>
      <c r="I78" s="18"/>
      <c r="J78" s="35"/>
      <c r="K78" s="106"/>
      <c r="L78" s="18"/>
      <c r="M78" s="18"/>
      <c r="N78" s="19"/>
      <c r="O78" s="18"/>
      <c r="P78" s="18"/>
      <c r="Q78" s="18"/>
      <c r="R78" s="29"/>
      <c r="S78" s="20"/>
    </row>
    <row r="79" spans="1:19" ht="14.25" customHeight="1">
      <c r="A79" s="97"/>
      <c r="B79" s="81"/>
      <c r="C79" s="95"/>
      <c r="D79" s="95"/>
      <c r="E79" s="108"/>
      <c r="F79" s="109"/>
      <c r="G79" s="39"/>
      <c r="H79" s="35"/>
      <c r="I79" s="17"/>
      <c r="J79" s="35"/>
      <c r="K79" s="17"/>
      <c r="L79" s="18"/>
      <c r="M79" s="17"/>
      <c r="N79" s="19"/>
      <c r="O79" s="18"/>
      <c r="P79" s="18"/>
      <c r="Q79" s="23"/>
      <c r="R79" s="29"/>
      <c r="S79" s="20"/>
    </row>
    <row r="80" spans="1:19" ht="14.25" customHeight="1">
      <c r="A80" s="97"/>
      <c r="B80" s="73"/>
      <c r="C80" s="20"/>
      <c r="D80" s="20"/>
      <c r="E80" s="20"/>
      <c r="F80" s="105"/>
      <c r="G80" s="18"/>
      <c r="H80" s="35"/>
      <c r="I80" s="18"/>
      <c r="J80" s="35"/>
      <c r="K80" s="18"/>
      <c r="L80" s="18"/>
      <c r="M80" s="18"/>
      <c r="N80" s="19"/>
      <c r="O80" s="18"/>
      <c r="P80" s="18"/>
      <c r="Q80" s="110"/>
      <c r="R80" s="29"/>
      <c r="S80" s="20"/>
    </row>
    <row r="81" spans="1:19" ht="14.25" customHeight="1">
      <c r="A81" s="97"/>
      <c r="B81" s="73"/>
      <c r="C81" s="98"/>
      <c r="D81" s="95"/>
      <c r="E81" s="99"/>
      <c r="F81" s="100"/>
      <c r="G81" s="102"/>
      <c r="H81" s="35"/>
      <c r="I81" s="101"/>
      <c r="J81" s="35"/>
      <c r="K81" s="101"/>
      <c r="L81" s="18"/>
      <c r="M81" s="101"/>
      <c r="N81" s="19"/>
      <c r="O81" s="122"/>
      <c r="P81" s="19"/>
      <c r="Q81" s="104"/>
      <c r="R81" s="29"/>
      <c r="S81" s="20"/>
    </row>
    <row r="82" spans="1:19" ht="12.75" customHeight="1">
      <c r="A82" s="97"/>
      <c r="B82" s="73"/>
      <c r="C82" s="20"/>
      <c r="D82" s="20"/>
      <c r="E82" s="105"/>
      <c r="F82" s="105"/>
      <c r="G82" s="106"/>
      <c r="H82" s="35"/>
      <c r="I82" s="18"/>
      <c r="J82" s="35"/>
      <c r="K82" s="106"/>
      <c r="L82" s="18"/>
      <c r="M82" s="18"/>
      <c r="N82" s="19"/>
      <c r="O82" s="18"/>
      <c r="P82" s="18"/>
      <c r="Q82" s="18"/>
      <c r="R82" s="29"/>
      <c r="S82" s="20"/>
    </row>
    <row r="83" spans="1:19" ht="14.25" customHeight="1">
      <c r="A83" s="97"/>
      <c r="B83" s="81"/>
      <c r="C83" s="95"/>
      <c r="D83" s="95"/>
      <c r="E83" s="108"/>
      <c r="F83" s="109"/>
      <c r="G83" s="39"/>
      <c r="H83" s="35"/>
      <c r="I83" s="17"/>
      <c r="J83" s="35"/>
      <c r="K83" s="17"/>
      <c r="L83" s="18"/>
      <c r="M83" s="17"/>
      <c r="N83" s="19"/>
      <c r="O83" s="18"/>
      <c r="P83" s="18"/>
      <c r="Q83" s="23"/>
      <c r="R83" s="29"/>
      <c r="S83" s="20"/>
    </row>
    <row r="84" spans="1:19" ht="14.25" customHeight="1">
      <c r="A84" s="97"/>
      <c r="B84" s="73"/>
      <c r="C84" s="20"/>
      <c r="D84" s="20"/>
      <c r="E84" s="20"/>
      <c r="F84" s="105"/>
      <c r="G84" s="18"/>
      <c r="H84" s="35"/>
      <c r="I84" s="18"/>
      <c r="J84" s="35"/>
      <c r="K84" s="18"/>
      <c r="L84" s="18"/>
      <c r="M84" s="18"/>
      <c r="N84" s="19"/>
      <c r="O84" s="18"/>
      <c r="P84" s="18"/>
      <c r="Q84" s="110"/>
      <c r="R84" s="29"/>
      <c r="S84" s="20"/>
    </row>
    <row r="85" spans="1:19" ht="14.25" customHeight="1">
      <c r="A85" s="97"/>
      <c r="B85" s="73"/>
      <c r="C85" s="98"/>
      <c r="D85" s="95"/>
      <c r="E85" s="99"/>
      <c r="F85" s="100"/>
      <c r="G85" s="102"/>
      <c r="H85" s="35"/>
      <c r="I85" s="101"/>
      <c r="J85" s="35"/>
      <c r="K85" s="101"/>
      <c r="L85" s="18"/>
      <c r="M85" s="101"/>
      <c r="N85" s="19"/>
      <c r="O85" s="122"/>
      <c r="P85" s="19"/>
      <c r="Q85" s="104"/>
      <c r="R85" s="29"/>
      <c r="S85" s="20"/>
    </row>
    <row r="86" spans="1:19" ht="12.75" customHeight="1">
      <c r="A86" s="97"/>
      <c r="B86" s="73"/>
      <c r="C86" s="20"/>
      <c r="D86" s="20"/>
      <c r="E86" s="105"/>
      <c r="F86" s="105"/>
      <c r="G86" s="106"/>
      <c r="H86" s="35"/>
      <c r="I86" s="18"/>
      <c r="J86" s="35"/>
      <c r="K86" s="106"/>
      <c r="L86" s="18"/>
      <c r="M86" s="18"/>
      <c r="N86" s="19"/>
      <c r="O86" s="18"/>
      <c r="P86" s="18"/>
      <c r="Q86" s="18"/>
      <c r="R86" s="29"/>
      <c r="S86" s="20"/>
    </row>
    <row r="87" spans="1:19" ht="14.25" customHeight="1">
      <c r="A87" s="97"/>
      <c r="B87" s="81"/>
      <c r="C87" s="95"/>
      <c r="D87" s="95"/>
      <c r="E87" s="108"/>
      <c r="F87" s="109"/>
      <c r="G87" s="39"/>
      <c r="H87" s="35"/>
      <c r="I87" s="17"/>
      <c r="J87" s="35"/>
      <c r="K87" s="17"/>
      <c r="L87" s="18"/>
      <c r="M87" s="17"/>
      <c r="N87" s="19"/>
      <c r="O87" s="18"/>
      <c r="P87" s="18"/>
      <c r="Q87" s="23"/>
      <c r="R87" s="29"/>
      <c r="S87" s="20"/>
    </row>
    <row r="88" spans="1:19" ht="14.25" customHeight="1">
      <c r="A88" s="97"/>
      <c r="B88" s="81"/>
      <c r="C88" s="20"/>
      <c r="D88" s="20"/>
      <c r="E88" s="20"/>
      <c r="F88" s="105"/>
      <c r="G88" s="18"/>
      <c r="H88" s="35"/>
      <c r="I88" s="18"/>
      <c r="J88" s="35"/>
      <c r="K88" s="18"/>
      <c r="L88" s="18"/>
      <c r="M88" s="18"/>
      <c r="N88" s="19"/>
      <c r="O88" s="18"/>
      <c r="P88" s="18"/>
      <c r="Q88" s="110"/>
      <c r="R88" s="29"/>
      <c r="S88" s="20"/>
    </row>
    <row r="89" spans="1:19" ht="14.25" customHeight="1">
      <c r="A89" s="97"/>
      <c r="B89" s="81"/>
      <c r="C89" s="98"/>
      <c r="D89" s="95"/>
      <c r="E89" s="99"/>
      <c r="F89" s="100"/>
      <c r="G89" s="102"/>
      <c r="H89" s="35"/>
      <c r="I89" s="101"/>
      <c r="J89" s="35"/>
      <c r="K89" s="101"/>
      <c r="L89" s="18"/>
      <c r="M89" s="101"/>
      <c r="N89" s="19"/>
      <c r="O89" s="122"/>
      <c r="P89" s="19"/>
      <c r="Q89" s="104"/>
      <c r="R89" s="29"/>
      <c r="S89" s="20"/>
    </row>
    <row r="90" spans="1:19" ht="12.75" customHeight="1">
      <c r="A90" s="97"/>
      <c r="B90" s="81"/>
      <c r="C90" s="20"/>
      <c r="D90" s="20"/>
      <c r="E90" s="105"/>
      <c r="F90" s="105"/>
      <c r="G90" s="106"/>
      <c r="H90" s="35"/>
      <c r="I90" s="18"/>
      <c r="J90" s="35"/>
      <c r="K90" s="106"/>
      <c r="L90" s="18"/>
      <c r="M90" s="18"/>
      <c r="N90" s="19"/>
      <c r="O90" s="18"/>
      <c r="P90" s="18"/>
      <c r="Q90" s="18"/>
      <c r="R90" s="29"/>
      <c r="S90" s="20"/>
    </row>
    <row r="91" spans="1:19" ht="14.25" customHeight="1">
      <c r="A91" s="97"/>
      <c r="B91" s="81"/>
      <c r="C91" s="95"/>
      <c r="D91" s="95"/>
      <c r="E91" s="108"/>
      <c r="F91" s="109"/>
      <c r="G91" s="39"/>
      <c r="H91" s="35"/>
      <c r="I91" s="17"/>
      <c r="J91" s="35"/>
      <c r="K91" s="17"/>
      <c r="L91" s="18"/>
      <c r="M91" s="17"/>
      <c r="N91" s="19"/>
      <c r="O91" s="18"/>
      <c r="P91" s="18"/>
      <c r="Q91" s="23"/>
      <c r="R91" s="29"/>
      <c r="S91" s="20"/>
    </row>
    <row r="92" spans="1:19" ht="14.25" customHeight="1">
      <c r="A92" s="97"/>
      <c r="B92" s="73"/>
      <c r="C92" s="20"/>
      <c r="D92" s="20"/>
      <c r="E92" s="20"/>
      <c r="F92" s="105"/>
      <c r="G92" s="18"/>
      <c r="H92" s="35"/>
      <c r="I92" s="18"/>
      <c r="J92" s="35"/>
      <c r="K92" s="18"/>
      <c r="L92" s="18"/>
      <c r="M92" s="18"/>
      <c r="N92" s="19"/>
      <c r="O92" s="18"/>
      <c r="P92" s="18"/>
      <c r="Q92" s="110"/>
      <c r="R92" s="29"/>
      <c r="S92" s="20"/>
    </row>
    <row r="93" spans="1:19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</sheetData>
  <sheetProtection/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3"/>
  <sheetViews>
    <sheetView zoomScale="140" zoomScaleNormal="140" workbookViewId="0" topLeftCell="A4">
      <selection activeCell="D28" sqref="D28"/>
    </sheetView>
  </sheetViews>
  <sheetFormatPr defaultColWidth="9.140625" defaultRowHeight="12.75"/>
  <cols>
    <col min="1" max="2" width="7.421875" style="0" customWidth="1"/>
    <col min="3" max="3" width="4.7109375" style="0" customWidth="1"/>
    <col min="4" max="4" width="22.00390625" style="0" customWidth="1"/>
    <col min="5" max="5" width="13.140625" style="0" customWidth="1"/>
    <col min="6" max="6" width="0.85546875" style="0" customWidth="1"/>
    <col min="7" max="7" width="7.7109375" style="0" customWidth="1"/>
    <col min="8" max="8" width="0.85546875" style="0" customWidth="1"/>
    <col min="9" max="9" width="7.7109375" style="0" customWidth="1"/>
    <col min="10" max="10" width="0.85546875" style="0" customWidth="1"/>
    <col min="11" max="11" width="7.7109375" style="0" customWidth="1"/>
    <col min="12" max="12" width="0.85546875" style="0" customWidth="1"/>
    <col min="13" max="13" width="7.7109375" style="0" customWidth="1"/>
    <col min="14" max="14" width="0.85546875" style="0" customWidth="1"/>
    <col min="15" max="15" width="2.57421875" style="0" customWidth="1"/>
    <col min="16" max="16" width="0.71875" style="0" customWidth="1"/>
    <col min="17" max="17" width="5.421875" style="0" customWidth="1"/>
    <col min="18" max="18" width="0.85546875" style="0" customWidth="1"/>
    <col min="19" max="19" width="9.7109375" style="0" customWidth="1"/>
    <col min="20" max="20" width="0.85546875" style="0" customWidth="1"/>
    <col min="21" max="21" width="9.7109375" style="0" customWidth="1"/>
    <col min="22" max="22" width="0.85546875" style="0" customWidth="1"/>
    <col min="23" max="23" width="9.7109375" style="0" customWidth="1"/>
    <col min="24" max="24" width="0.85546875" style="0" customWidth="1"/>
    <col min="25" max="25" width="9.7109375" style="0" customWidth="1"/>
    <col min="26" max="26" width="0.85546875" style="0" customWidth="1"/>
    <col min="28" max="28" width="0.85546875" style="0" customWidth="1"/>
  </cols>
  <sheetData>
    <row r="1" spans="1:2" ht="15.75">
      <c r="A1" s="1" t="s">
        <v>30</v>
      </c>
      <c r="B1" s="1"/>
    </row>
    <row r="2" spans="1:2" ht="15.75">
      <c r="A2" s="1" t="s">
        <v>31</v>
      </c>
      <c r="B2" s="1"/>
    </row>
    <row r="3" spans="1:2" ht="15.75">
      <c r="A3" s="1" t="s">
        <v>120</v>
      </c>
      <c r="B3" s="1"/>
    </row>
    <row r="4" spans="1:2" ht="12" customHeight="1">
      <c r="A4" s="1"/>
      <c r="B4" s="1"/>
    </row>
    <row r="5" spans="5:9" ht="14.25" customHeight="1">
      <c r="E5" s="148" t="s">
        <v>72</v>
      </c>
      <c r="G5" s="147">
        <v>2838</v>
      </c>
      <c r="I5" s="149" t="s">
        <v>121</v>
      </c>
    </row>
    <row r="6" spans="1:11" ht="15" customHeight="1">
      <c r="A6" s="6" t="s">
        <v>8</v>
      </c>
      <c r="B6" s="6"/>
      <c r="E6" s="151" t="s">
        <v>0</v>
      </c>
      <c r="G6" s="151">
        <v>2700</v>
      </c>
      <c r="H6" s="41"/>
      <c r="I6" s="41" t="s">
        <v>73</v>
      </c>
      <c r="J6" s="41"/>
      <c r="K6" s="41"/>
    </row>
    <row r="7" spans="1:2" ht="12" customHeight="1">
      <c r="A7" s="41" t="s">
        <v>29</v>
      </c>
      <c r="B7" s="41"/>
    </row>
    <row r="8" spans="7:23" ht="12.75" customHeight="1">
      <c r="G8" s="13" t="s">
        <v>26</v>
      </c>
      <c r="H8" s="13"/>
      <c r="I8" s="13" t="s">
        <v>17</v>
      </c>
      <c r="J8" s="13"/>
      <c r="K8" s="13" t="s">
        <v>18</v>
      </c>
      <c r="L8" s="13"/>
      <c r="M8" s="13" t="s">
        <v>14</v>
      </c>
      <c r="N8" s="13"/>
      <c r="O8" s="13"/>
      <c r="P8" s="13"/>
      <c r="Q8" s="13" t="s">
        <v>15</v>
      </c>
      <c r="R8" s="13"/>
      <c r="S8" s="13"/>
      <c r="T8" s="13"/>
      <c r="V8" s="13"/>
      <c r="W8" s="13"/>
    </row>
    <row r="9" spans="1:23" ht="14.25" customHeight="1">
      <c r="A9" s="13" t="s">
        <v>1</v>
      </c>
      <c r="C9" s="62" t="s">
        <v>21</v>
      </c>
      <c r="D9" s="11" t="s">
        <v>9</v>
      </c>
      <c r="E9" s="60" t="s">
        <v>20</v>
      </c>
      <c r="G9" s="21" t="s">
        <v>22</v>
      </c>
      <c r="H9" s="12"/>
      <c r="I9" s="21" t="s">
        <v>23</v>
      </c>
      <c r="J9" s="12"/>
      <c r="K9" s="21" t="s">
        <v>24</v>
      </c>
      <c r="L9" s="12"/>
      <c r="M9" s="21" t="s">
        <v>23</v>
      </c>
      <c r="N9" s="12"/>
      <c r="O9" s="12"/>
      <c r="P9" s="12"/>
      <c r="Q9" s="21" t="s">
        <v>22</v>
      </c>
      <c r="R9" s="12"/>
      <c r="S9" s="12"/>
      <c r="T9" s="12"/>
      <c r="V9" s="12"/>
      <c r="W9" s="12"/>
    </row>
    <row r="10" spans="1:23" ht="13.5" customHeight="1">
      <c r="A10" s="13" t="s">
        <v>2</v>
      </c>
      <c r="B10" s="58" t="s">
        <v>37</v>
      </c>
      <c r="E10" s="10"/>
      <c r="F10" s="10"/>
      <c r="G10" s="14" t="s">
        <v>11</v>
      </c>
      <c r="H10" s="7"/>
      <c r="I10" s="14" t="s">
        <v>11</v>
      </c>
      <c r="J10" s="7"/>
      <c r="K10" s="14"/>
      <c r="L10" s="7"/>
      <c r="M10" s="14"/>
      <c r="N10" s="7"/>
      <c r="O10" s="7"/>
      <c r="P10" s="7"/>
      <c r="Q10" s="14"/>
      <c r="R10" s="7"/>
      <c r="S10" s="7"/>
      <c r="T10" s="7"/>
      <c r="V10" s="7"/>
      <c r="W10" s="7"/>
    </row>
    <row r="11" spans="2:23" ht="13.5" customHeight="1">
      <c r="B11" s="58" t="s">
        <v>2</v>
      </c>
      <c r="C11" s="11" t="s">
        <v>10</v>
      </c>
      <c r="E11" s="61" t="s">
        <v>19</v>
      </c>
      <c r="F11" s="7"/>
      <c r="G11" s="14" t="s">
        <v>12</v>
      </c>
      <c r="H11" s="7"/>
      <c r="I11" s="14" t="s">
        <v>12</v>
      </c>
      <c r="J11" s="7"/>
      <c r="K11" s="14" t="s">
        <v>12</v>
      </c>
      <c r="L11" s="7"/>
      <c r="M11" s="14" t="s">
        <v>12</v>
      </c>
      <c r="N11" s="7"/>
      <c r="O11" s="7"/>
      <c r="P11" s="7"/>
      <c r="Q11" s="14" t="s">
        <v>12</v>
      </c>
      <c r="R11" s="7"/>
      <c r="S11" s="7"/>
      <c r="T11" s="7"/>
      <c r="V11" s="7"/>
      <c r="W11" s="7"/>
    </row>
    <row r="12" spans="1:23" ht="13.5" customHeight="1">
      <c r="A12" s="8"/>
      <c r="B12" s="8"/>
      <c r="C12" s="8"/>
      <c r="D12" s="8"/>
      <c r="E12" s="8"/>
      <c r="F12" s="8"/>
      <c r="G12" s="15" t="s">
        <v>13</v>
      </c>
      <c r="H12" s="9"/>
      <c r="I12" s="15" t="s">
        <v>13</v>
      </c>
      <c r="J12" s="9"/>
      <c r="K12" s="15" t="s">
        <v>13</v>
      </c>
      <c r="L12" s="9"/>
      <c r="M12" s="15" t="s">
        <v>13</v>
      </c>
      <c r="N12" s="9"/>
      <c r="O12" s="9"/>
      <c r="P12" s="9"/>
      <c r="Q12" s="15" t="s">
        <v>13</v>
      </c>
      <c r="R12" s="9"/>
      <c r="S12" s="19"/>
      <c r="T12" s="19"/>
      <c r="V12" s="19"/>
      <c r="W12" s="19"/>
    </row>
    <row r="13" spans="1:23" ht="14.25" customHeight="1">
      <c r="A13" s="186"/>
      <c r="B13" s="186"/>
      <c r="C13" s="180">
        <v>773</v>
      </c>
      <c r="D13" s="114" t="s">
        <v>210</v>
      </c>
      <c r="E13" s="136" t="s">
        <v>469</v>
      </c>
      <c r="F13" s="26">
        <v>57</v>
      </c>
      <c r="G13" s="102">
        <v>13.6</v>
      </c>
      <c r="H13" s="34">
        <f>G15</f>
        <v>511</v>
      </c>
      <c r="I13" s="101">
        <v>4.85</v>
      </c>
      <c r="J13" s="34">
        <f>G16+I15</f>
        <v>1030</v>
      </c>
      <c r="K13" s="101">
        <v>1.56</v>
      </c>
      <c r="L13" s="18">
        <f>I16+K15</f>
        <v>1719</v>
      </c>
      <c r="M13" s="101">
        <v>7.75</v>
      </c>
      <c r="N13" s="27">
        <f>K16+M15</f>
        <v>2102</v>
      </c>
      <c r="O13" s="122">
        <v>2</v>
      </c>
      <c r="P13" s="19" t="s">
        <v>25</v>
      </c>
      <c r="Q13" s="172" t="s">
        <v>460</v>
      </c>
      <c r="R13" s="28">
        <f>M16+Q15</f>
        <v>2786</v>
      </c>
      <c r="T13" s="18"/>
      <c r="V13" s="18"/>
      <c r="W13" s="18"/>
    </row>
    <row r="14" spans="1:23" ht="12.75" customHeight="1">
      <c r="A14" s="32">
        <v>1</v>
      </c>
      <c r="B14" s="74"/>
      <c r="C14" s="20"/>
      <c r="D14" s="20"/>
      <c r="E14" s="10"/>
      <c r="F14" s="100">
        <v>58</v>
      </c>
      <c r="G14" s="85"/>
      <c r="H14" s="35">
        <f>G15</f>
        <v>511</v>
      </c>
      <c r="I14" s="85"/>
      <c r="J14" s="35">
        <f>G16+I15</f>
        <v>1030</v>
      </c>
      <c r="K14" s="14"/>
      <c r="L14" s="18">
        <f>I16+K15</f>
        <v>1719</v>
      </c>
      <c r="M14" s="14"/>
      <c r="N14" s="19">
        <f>K16+M15</f>
        <v>2102</v>
      </c>
      <c r="O14" s="14"/>
      <c r="P14" s="14"/>
      <c r="Q14" s="14"/>
      <c r="R14" s="29">
        <f>M16+Q15</f>
        <v>2786</v>
      </c>
      <c r="T14" s="18"/>
      <c r="U14" s="38"/>
      <c r="V14" s="18"/>
      <c r="W14" s="18"/>
    </row>
    <row r="15" spans="1:23" ht="14.25" customHeight="1">
      <c r="A15" s="32"/>
      <c r="B15" s="75"/>
      <c r="C15" s="95" t="s">
        <v>224</v>
      </c>
      <c r="D15" s="11"/>
      <c r="E15" s="25">
        <f>R13</f>
        <v>2786</v>
      </c>
      <c r="F15" s="10">
        <v>59</v>
      </c>
      <c r="G15" s="39">
        <f>IF(G13=0,0,VLOOKUP(G13,Tables!$D$3:$E$152,2,TRUE))</f>
        <v>511</v>
      </c>
      <c r="H15" s="35">
        <f>G15</f>
        <v>511</v>
      </c>
      <c r="I15" s="17">
        <f>ROUNDDOWN(0.188807*(100*I13-210)^1.41,0)</f>
        <v>519</v>
      </c>
      <c r="J15" s="35">
        <f>G16+I15</f>
        <v>1030</v>
      </c>
      <c r="K15" s="17">
        <f>ROUNDDOWN(1.84523*(100*K13-75)^1.348,0)</f>
        <v>689</v>
      </c>
      <c r="L15" s="18">
        <f>I16+K15</f>
        <v>1719</v>
      </c>
      <c r="M15" s="17">
        <f>ROUNDDOWN(56.0211*(M13-1.5)^1.05,0)</f>
        <v>383</v>
      </c>
      <c r="N15" s="19">
        <f>K16+M15</f>
        <v>2102</v>
      </c>
      <c r="O15" s="14"/>
      <c r="P15" s="14"/>
      <c r="Q15" s="23">
        <f>IF(O13+Q13=0,0,TRUNC(0.11193*((254-(O13*60+Q13))^1.88)))</f>
        <v>684</v>
      </c>
      <c r="R15" s="29">
        <f>M16+Q15</f>
        <v>2786</v>
      </c>
      <c r="T15" s="18"/>
      <c r="V15" s="18"/>
      <c r="W15" s="18"/>
    </row>
    <row r="16" spans="1:23" ht="14.25" customHeight="1">
      <c r="A16" s="33"/>
      <c r="B16" s="76"/>
      <c r="C16" s="8"/>
      <c r="D16" s="8"/>
      <c r="E16" s="8"/>
      <c r="F16" s="26">
        <v>60</v>
      </c>
      <c r="G16" s="15">
        <f>G15</f>
        <v>511</v>
      </c>
      <c r="H16" s="36">
        <f>G15</f>
        <v>511</v>
      </c>
      <c r="I16" s="15">
        <f>G16+I15</f>
        <v>1030</v>
      </c>
      <c r="J16" s="35">
        <f>G16+I15</f>
        <v>1030</v>
      </c>
      <c r="K16" s="15">
        <f>I16+K15</f>
        <v>1719</v>
      </c>
      <c r="L16" s="15">
        <f>I16+K15</f>
        <v>1719</v>
      </c>
      <c r="M16" s="15">
        <f>K16+M15</f>
        <v>2102</v>
      </c>
      <c r="N16" s="19">
        <f>K16+M15</f>
        <v>2102</v>
      </c>
      <c r="O16" s="15"/>
      <c r="P16" s="15"/>
      <c r="Q16" s="24">
        <f>M16+Q15</f>
        <v>2786</v>
      </c>
      <c r="R16" s="29">
        <f>M16+Q15</f>
        <v>2786</v>
      </c>
      <c r="T16" s="18"/>
      <c r="V16" s="18"/>
      <c r="W16" s="18"/>
    </row>
    <row r="17" spans="1:23" ht="14.25" customHeight="1">
      <c r="A17" s="31"/>
      <c r="B17" s="73"/>
      <c r="C17" s="180">
        <v>768</v>
      </c>
      <c r="D17" s="155" t="s">
        <v>205</v>
      </c>
      <c r="E17" s="136" t="s">
        <v>470</v>
      </c>
      <c r="F17" s="100">
        <v>37</v>
      </c>
      <c r="G17" s="102">
        <v>12.3</v>
      </c>
      <c r="H17" s="34">
        <f>G19</f>
        <v>641</v>
      </c>
      <c r="I17" s="101">
        <v>4.99</v>
      </c>
      <c r="J17" s="34">
        <f>G20+I19</f>
        <v>1198</v>
      </c>
      <c r="K17" s="101">
        <v>1.37</v>
      </c>
      <c r="L17" s="18">
        <f>I20+K19</f>
        <v>1679</v>
      </c>
      <c r="M17" s="101">
        <v>7.85</v>
      </c>
      <c r="N17" s="27">
        <f>K20+M19</f>
        <v>2069</v>
      </c>
      <c r="O17" s="122">
        <v>2</v>
      </c>
      <c r="P17" s="19" t="s">
        <v>25</v>
      </c>
      <c r="Q17" s="172" t="s">
        <v>461</v>
      </c>
      <c r="R17" s="28">
        <f>M20+Q19</f>
        <v>2716</v>
      </c>
      <c r="S17" s="20"/>
      <c r="T17" s="20"/>
      <c r="U17" s="16"/>
      <c r="V17" s="20"/>
      <c r="W17" s="20"/>
    </row>
    <row r="18" spans="1:18" ht="12.75" customHeight="1">
      <c r="A18" s="32">
        <v>2</v>
      </c>
      <c r="B18" s="74"/>
      <c r="E18" s="10"/>
      <c r="F18" s="10">
        <v>38</v>
      </c>
      <c r="G18" s="85"/>
      <c r="H18" s="35">
        <f>G19</f>
        <v>641</v>
      </c>
      <c r="I18" s="85"/>
      <c r="J18" s="35">
        <f>G20+I19</f>
        <v>1198</v>
      </c>
      <c r="K18" s="14"/>
      <c r="L18" s="18">
        <f>I20+K19</f>
        <v>1679</v>
      </c>
      <c r="M18" s="14"/>
      <c r="N18" s="19">
        <f>K20+M19</f>
        <v>2069</v>
      </c>
      <c r="O18" s="14"/>
      <c r="P18" s="14"/>
      <c r="Q18" s="14"/>
      <c r="R18" s="29">
        <f>M20+Q19</f>
        <v>2716</v>
      </c>
    </row>
    <row r="19" spans="1:18" ht="14.25" customHeight="1">
      <c r="A19" s="32"/>
      <c r="B19" s="175"/>
      <c r="C19" s="11" t="s">
        <v>223</v>
      </c>
      <c r="D19" s="11"/>
      <c r="E19" s="25">
        <f>R17</f>
        <v>2716</v>
      </c>
      <c r="F19" s="26">
        <v>39</v>
      </c>
      <c r="G19" s="39">
        <f>IF(G17=0,0,VLOOKUP(G17,Tables!$D$3:$E$152,2,TRUE))</f>
        <v>641</v>
      </c>
      <c r="H19" s="35">
        <f>G19</f>
        <v>641</v>
      </c>
      <c r="I19" s="17">
        <f>ROUNDDOWN(0.188807*(100*I17-210)^1.41,0)</f>
        <v>557</v>
      </c>
      <c r="J19" s="35">
        <f>G20+I19</f>
        <v>1198</v>
      </c>
      <c r="K19" s="17">
        <f>ROUNDDOWN(1.84523*(100*K17-75)^1.348,0)</f>
        <v>481</v>
      </c>
      <c r="L19" s="18">
        <f>I20+K19</f>
        <v>1679</v>
      </c>
      <c r="M19" s="17">
        <f>ROUNDDOWN(56.0211*(M17-1.5)^1.05,0)</f>
        <v>390</v>
      </c>
      <c r="N19" s="19">
        <f>K20+M19</f>
        <v>2069</v>
      </c>
      <c r="O19" s="14"/>
      <c r="P19" s="14"/>
      <c r="Q19" s="23">
        <f>IF(O17+Q17=0,0,TRUNC(0.11193*((254-(O17*60+Q17))^1.88)))</f>
        <v>647</v>
      </c>
      <c r="R19" s="29">
        <f>M20+Q19</f>
        <v>2716</v>
      </c>
    </row>
    <row r="20" spans="1:23" ht="14.25" customHeight="1">
      <c r="A20" s="33"/>
      <c r="B20" s="76"/>
      <c r="C20" s="8"/>
      <c r="D20" s="8"/>
      <c r="E20" s="8"/>
      <c r="F20" s="100">
        <v>40</v>
      </c>
      <c r="G20" s="15">
        <f>G19</f>
        <v>641</v>
      </c>
      <c r="H20" s="36">
        <f>G19</f>
        <v>641</v>
      </c>
      <c r="I20" s="15">
        <f>G20+I19</f>
        <v>1198</v>
      </c>
      <c r="J20" s="35">
        <f>G20+I19</f>
        <v>1198</v>
      </c>
      <c r="K20" s="15">
        <f>I20+K19</f>
        <v>1679</v>
      </c>
      <c r="L20" s="15">
        <f>I20+K19</f>
        <v>1679</v>
      </c>
      <c r="M20" s="15">
        <f>K20+M19</f>
        <v>2069</v>
      </c>
      <c r="N20" s="19">
        <f>K20+M19</f>
        <v>2069</v>
      </c>
      <c r="O20" s="15"/>
      <c r="P20" s="15"/>
      <c r="Q20" s="24">
        <f>M20+Q19</f>
        <v>2716</v>
      </c>
      <c r="R20" s="29">
        <f>M20+Q19</f>
        <v>2716</v>
      </c>
      <c r="W20" s="22"/>
    </row>
    <row r="21" spans="1:18" ht="14.25" customHeight="1">
      <c r="A21" s="31"/>
      <c r="B21" s="73"/>
      <c r="C21" s="180">
        <v>782</v>
      </c>
      <c r="D21" s="155" t="s">
        <v>219</v>
      </c>
      <c r="E21" s="91" t="s">
        <v>471</v>
      </c>
      <c r="F21" s="26">
        <v>93</v>
      </c>
      <c r="G21" s="82">
        <v>12.8</v>
      </c>
      <c r="H21" s="34">
        <f>G23</f>
        <v>588</v>
      </c>
      <c r="I21" s="83">
        <v>4.4</v>
      </c>
      <c r="J21" s="34">
        <f>G24+I23</f>
        <v>991</v>
      </c>
      <c r="K21" s="83">
        <v>1.43</v>
      </c>
      <c r="L21" s="18">
        <f>I24+K23</f>
        <v>1535</v>
      </c>
      <c r="M21" s="83">
        <v>7.54</v>
      </c>
      <c r="N21" s="27">
        <f>K24+M23</f>
        <v>1905</v>
      </c>
      <c r="O21" s="84">
        <v>2</v>
      </c>
      <c r="P21" s="7" t="s">
        <v>25</v>
      </c>
      <c r="Q21" s="184" t="s">
        <v>429</v>
      </c>
      <c r="R21" s="28">
        <f>M24+Q23</f>
        <v>2508</v>
      </c>
    </row>
    <row r="22" spans="1:18" ht="12.75" customHeight="1">
      <c r="A22" s="32">
        <v>3</v>
      </c>
      <c r="B22" s="74"/>
      <c r="C22" s="20"/>
      <c r="D22" s="20"/>
      <c r="E22" s="10"/>
      <c r="F22" s="100">
        <v>94</v>
      </c>
      <c r="G22" s="85"/>
      <c r="H22" s="35">
        <f>G23</f>
        <v>588</v>
      </c>
      <c r="I22" s="85"/>
      <c r="J22" s="35">
        <f>G24+I23</f>
        <v>991</v>
      </c>
      <c r="K22" s="14"/>
      <c r="L22" s="18">
        <f>I24+K23</f>
        <v>1535</v>
      </c>
      <c r="M22" s="14"/>
      <c r="N22" s="19">
        <f>K24+M23</f>
        <v>1905</v>
      </c>
      <c r="O22" s="14"/>
      <c r="P22" s="14"/>
      <c r="Q22" s="14"/>
      <c r="R22" s="29">
        <f>M24+Q23</f>
        <v>2508</v>
      </c>
    </row>
    <row r="23" spans="1:18" ht="14.25" customHeight="1">
      <c r="A23" s="32"/>
      <c r="B23" s="175">
        <v>1</v>
      </c>
      <c r="C23" s="95" t="s">
        <v>227</v>
      </c>
      <c r="D23" s="11"/>
      <c r="E23" s="25">
        <f>R21</f>
        <v>2508</v>
      </c>
      <c r="F23" s="10">
        <v>95</v>
      </c>
      <c r="G23" s="39">
        <f>IF(G21=0,0,VLOOKUP(G21,Tables!$D$3:$E$152,2,TRUE))</f>
        <v>588</v>
      </c>
      <c r="H23" s="35">
        <f>G23</f>
        <v>588</v>
      </c>
      <c r="I23" s="17">
        <f>ROUNDDOWN(0.188807*(100*I21-210)^1.41,0)</f>
        <v>403</v>
      </c>
      <c r="J23" s="35">
        <f>G24+I23</f>
        <v>991</v>
      </c>
      <c r="K23" s="17">
        <f>ROUNDDOWN(1.84523*(100*K21-75)^1.348,0)</f>
        <v>544</v>
      </c>
      <c r="L23" s="18">
        <f>I24+K23</f>
        <v>1535</v>
      </c>
      <c r="M23" s="17">
        <f>ROUNDDOWN(56.0211*(M21-1.5)^1.05,0)</f>
        <v>370</v>
      </c>
      <c r="N23" s="19">
        <f>K24+M23</f>
        <v>1905</v>
      </c>
      <c r="O23" s="14"/>
      <c r="P23" s="14"/>
      <c r="Q23" s="23">
        <f>IF(O21+Q21=0,0,TRUNC(0.11193*((254-(O21*60+Q21))^1.88)))</f>
        <v>603</v>
      </c>
      <c r="R23" s="29">
        <f>M24+Q23</f>
        <v>2508</v>
      </c>
    </row>
    <row r="24" spans="1:18" ht="14.25" customHeight="1">
      <c r="A24" s="33"/>
      <c r="B24" s="76"/>
      <c r="C24" s="8"/>
      <c r="D24" s="8"/>
      <c r="E24" s="8"/>
      <c r="F24" s="26">
        <v>96</v>
      </c>
      <c r="G24" s="15">
        <f>G23</f>
        <v>588</v>
      </c>
      <c r="H24" s="36">
        <f>G23</f>
        <v>588</v>
      </c>
      <c r="I24" s="15">
        <f>G24+I23</f>
        <v>991</v>
      </c>
      <c r="J24" s="35">
        <f>G24+I23</f>
        <v>991</v>
      </c>
      <c r="K24" s="15">
        <f>I24+K23</f>
        <v>1535</v>
      </c>
      <c r="L24" s="15">
        <f>I24+K23</f>
        <v>1535</v>
      </c>
      <c r="M24" s="15">
        <f>K24+M23</f>
        <v>1905</v>
      </c>
      <c r="N24" s="19">
        <f>K24+M23</f>
        <v>1905</v>
      </c>
      <c r="O24" s="15"/>
      <c r="P24" s="15"/>
      <c r="Q24" s="24">
        <f>M24+Q23</f>
        <v>2508</v>
      </c>
      <c r="R24" s="29">
        <f>M24+Q23</f>
        <v>2508</v>
      </c>
    </row>
    <row r="25" spans="1:19" ht="14.25" customHeight="1">
      <c r="A25" s="31"/>
      <c r="B25" s="73"/>
      <c r="C25" s="180">
        <v>769</v>
      </c>
      <c r="D25" s="155" t="s">
        <v>206</v>
      </c>
      <c r="E25" s="136" t="s">
        <v>472</v>
      </c>
      <c r="F25" s="10">
        <v>41</v>
      </c>
      <c r="G25" s="102">
        <v>12.8</v>
      </c>
      <c r="H25" s="34">
        <f>G27</f>
        <v>588</v>
      </c>
      <c r="I25" s="101">
        <v>4.92</v>
      </c>
      <c r="J25" s="34">
        <f>G28+I27</f>
        <v>1126</v>
      </c>
      <c r="K25" s="101">
        <v>1.47</v>
      </c>
      <c r="L25" s="18">
        <f>I28+K27</f>
        <v>1714</v>
      </c>
      <c r="M25" s="101">
        <v>6.99</v>
      </c>
      <c r="N25" s="27">
        <f>K28+M27</f>
        <v>2048</v>
      </c>
      <c r="O25" s="122">
        <v>2</v>
      </c>
      <c r="P25" s="19" t="s">
        <v>25</v>
      </c>
      <c r="Q25" s="172" t="s">
        <v>465</v>
      </c>
      <c r="R25" s="28">
        <f>M28+Q27</f>
        <v>2493</v>
      </c>
      <c r="S25" s="18"/>
    </row>
    <row r="26" spans="1:19" ht="12.75" customHeight="1">
      <c r="A26" s="32">
        <v>4</v>
      </c>
      <c r="B26" s="74"/>
      <c r="E26" s="10"/>
      <c r="F26" s="26">
        <v>42</v>
      </c>
      <c r="G26" s="85"/>
      <c r="H26" s="35">
        <f>G27</f>
        <v>588</v>
      </c>
      <c r="I26" s="85"/>
      <c r="J26" s="35">
        <f>G28+I27</f>
        <v>1126</v>
      </c>
      <c r="K26" s="14"/>
      <c r="L26" s="18">
        <f>I28+K27</f>
        <v>1714</v>
      </c>
      <c r="M26" s="14"/>
      <c r="N26" s="19">
        <f>K28+M27</f>
        <v>2048</v>
      </c>
      <c r="O26" s="14"/>
      <c r="P26" s="14"/>
      <c r="Q26" s="14"/>
      <c r="R26" s="29">
        <f>M28+Q27</f>
        <v>2493</v>
      </c>
      <c r="S26" s="18"/>
    </row>
    <row r="27" spans="1:19" ht="14.25" customHeight="1">
      <c r="A27" s="32"/>
      <c r="B27" s="176"/>
      <c r="C27" s="11" t="s">
        <v>100</v>
      </c>
      <c r="D27" s="11"/>
      <c r="E27" s="25">
        <f>R25</f>
        <v>2493</v>
      </c>
      <c r="F27" s="100">
        <v>43</v>
      </c>
      <c r="G27" s="39">
        <f>IF(G25=0,0,VLOOKUP(G25,Tables!$D$3:$E$152,2,TRUE))</f>
        <v>588</v>
      </c>
      <c r="H27" s="35">
        <f>G27</f>
        <v>588</v>
      </c>
      <c r="I27" s="17">
        <f>ROUNDDOWN(0.188807*(100*I25-210)^1.41,0)</f>
        <v>538</v>
      </c>
      <c r="J27" s="35">
        <f>G28+I27</f>
        <v>1126</v>
      </c>
      <c r="K27" s="17">
        <f>ROUNDDOWN(1.84523*(100*K25-75)^1.348,0)</f>
        <v>588</v>
      </c>
      <c r="L27" s="18">
        <f>I28+K27</f>
        <v>1714</v>
      </c>
      <c r="M27" s="17">
        <f>ROUNDDOWN(56.0211*(M25-1.5)^1.05,0)</f>
        <v>334</v>
      </c>
      <c r="N27" s="19">
        <f>K28+M27</f>
        <v>2048</v>
      </c>
      <c r="O27" s="14"/>
      <c r="P27" s="14"/>
      <c r="Q27" s="23">
        <f>IF(O25+Q25=0,0,TRUNC(0.11193*((254-(O25*60+Q25))^1.88)))</f>
        <v>445</v>
      </c>
      <c r="R27" s="29">
        <f>M28+Q27</f>
        <v>2493</v>
      </c>
      <c r="S27" s="18"/>
    </row>
    <row r="28" spans="1:19" ht="14.25" customHeight="1">
      <c r="A28" s="33"/>
      <c r="B28" s="8"/>
      <c r="C28" s="8"/>
      <c r="D28" s="8"/>
      <c r="E28" s="8"/>
      <c r="F28" s="10">
        <v>44</v>
      </c>
      <c r="G28" s="15">
        <f>G27</f>
        <v>588</v>
      </c>
      <c r="H28" s="36">
        <f>G27</f>
        <v>588</v>
      </c>
      <c r="I28" s="15">
        <f>G28+I27</f>
        <v>1126</v>
      </c>
      <c r="J28" s="35">
        <f>G28+I27</f>
        <v>1126</v>
      </c>
      <c r="K28" s="15">
        <f>I28+K27</f>
        <v>1714</v>
      </c>
      <c r="L28" s="15">
        <f>I28+K27</f>
        <v>1714</v>
      </c>
      <c r="M28" s="15">
        <f>K28+M27</f>
        <v>2048</v>
      </c>
      <c r="N28" s="19">
        <f>K28+M27</f>
        <v>2048</v>
      </c>
      <c r="O28" s="15"/>
      <c r="P28" s="15"/>
      <c r="Q28" s="24">
        <f>M28+Q27</f>
        <v>2493</v>
      </c>
      <c r="R28" s="29">
        <f>M28+Q27</f>
        <v>2493</v>
      </c>
      <c r="S28" s="18"/>
    </row>
    <row r="29" spans="1:18" ht="14.25" customHeight="1">
      <c r="A29" s="31"/>
      <c r="C29" s="180">
        <v>764</v>
      </c>
      <c r="D29" s="95" t="s">
        <v>203</v>
      </c>
      <c r="E29" s="136" t="s">
        <v>473</v>
      </c>
      <c r="F29" s="26">
        <v>21</v>
      </c>
      <c r="G29" s="102">
        <v>14.1</v>
      </c>
      <c r="H29" s="34">
        <f>G31</f>
        <v>471</v>
      </c>
      <c r="I29" s="101">
        <v>4.14</v>
      </c>
      <c r="J29" s="34">
        <f>G32+I31</f>
        <v>811</v>
      </c>
      <c r="K29" s="101">
        <v>1.47</v>
      </c>
      <c r="L29" s="18">
        <f>I32+K31</f>
        <v>1399</v>
      </c>
      <c r="M29" s="101">
        <v>7.75</v>
      </c>
      <c r="N29" s="27">
        <f>K32+M31</f>
        <v>1782</v>
      </c>
      <c r="O29" s="122">
        <v>2</v>
      </c>
      <c r="P29" s="19" t="s">
        <v>25</v>
      </c>
      <c r="Q29" s="172" t="s">
        <v>462</v>
      </c>
      <c r="R29" s="28">
        <f>M32+Q31</f>
        <v>2405</v>
      </c>
    </row>
    <row r="30" spans="1:18" ht="12.75" customHeight="1">
      <c r="A30" s="32">
        <v>5</v>
      </c>
      <c r="E30" s="10"/>
      <c r="F30" s="100">
        <v>22</v>
      </c>
      <c r="G30" s="85"/>
      <c r="H30" s="35">
        <f>G31</f>
        <v>471</v>
      </c>
      <c r="I30" s="85"/>
      <c r="J30" s="35">
        <f>G32+I31</f>
        <v>811</v>
      </c>
      <c r="K30" s="14"/>
      <c r="L30" s="18">
        <f>I32+K31</f>
        <v>1399</v>
      </c>
      <c r="M30" s="14"/>
      <c r="N30" s="19">
        <f>K32+M31</f>
        <v>1782</v>
      </c>
      <c r="O30" s="14"/>
      <c r="P30" s="14"/>
      <c r="Q30" s="14"/>
      <c r="R30" s="29">
        <f>M32+Q31</f>
        <v>2405</v>
      </c>
    </row>
    <row r="31" spans="1:18" ht="14.25" customHeight="1">
      <c r="A31" s="32"/>
      <c r="B31" s="77">
        <v>2</v>
      </c>
      <c r="C31" s="11" t="s">
        <v>178</v>
      </c>
      <c r="D31" s="11"/>
      <c r="E31" s="25">
        <f>R29</f>
        <v>2405</v>
      </c>
      <c r="F31" s="10">
        <v>23</v>
      </c>
      <c r="G31" s="39">
        <f>IF(G29=0,0,VLOOKUP(G29,Tables!$D$3:$E$152,2,TRUE))</f>
        <v>471</v>
      </c>
      <c r="H31" s="35">
        <f>G31</f>
        <v>471</v>
      </c>
      <c r="I31" s="17">
        <f>ROUNDDOWN(0.188807*(100*I29-210)^1.41,0)</f>
        <v>340</v>
      </c>
      <c r="J31" s="35">
        <f>G32+I31</f>
        <v>811</v>
      </c>
      <c r="K31" s="17">
        <f>ROUNDDOWN(1.84523*(100*K29-75)^1.348,0)</f>
        <v>588</v>
      </c>
      <c r="L31" s="18">
        <f>I32+K31</f>
        <v>1399</v>
      </c>
      <c r="M31" s="17">
        <f>ROUNDDOWN(56.0211*(M29-1.5)^1.05,0)</f>
        <v>383</v>
      </c>
      <c r="N31" s="19">
        <f>K32+M31</f>
        <v>1782</v>
      </c>
      <c r="O31" s="14"/>
      <c r="P31" s="14"/>
      <c r="Q31" s="23">
        <f>IF(O29+Q29=0,0,TRUNC(0.11193*((254-(O29*60+Q29))^1.88)))</f>
        <v>623</v>
      </c>
      <c r="R31" s="29">
        <f>M32+Q31</f>
        <v>2405</v>
      </c>
    </row>
    <row r="32" spans="1:18" ht="14.25" customHeight="1">
      <c r="A32" s="33"/>
      <c r="B32" s="132"/>
      <c r="C32" s="8"/>
      <c r="D32" s="8"/>
      <c r="E32" s="8"/>
      <c r="F32" s="26">
        <v>24</v>
      </c>
      <c r="G32" s="15">
        <f>G31</f>
        <v>471</v>
      </c>
      <c r="H32" s="36">
        <f>G31</f>
        <v>471</v>
      </c>
      <c r="I32" s="15">
        <f>G32+I31</f>
        <v>811</v>
      </c>
      <c r="J32" s="35">
        <f>G32+I31</f>
        <v>811</v>
      </c>
      <c r="K32" s="15">
        <f>I32+K31</f>
        <v>1399</v>
      </c>
      <c r="L32" s="15">
        <f>I32+K31</f>
        <v>1399</v>
      </c>
      <c r="M32" s="15">
        <f>K32+M31</f>
        <v>1782</v>
      </c>
      <c r="N32" s="9">
        <f>K32+M31</f>
        <v>1782</v>
      </c>
      <c r="O32" s="15"/>
      <c r="P32" s="15"/>
      <c r="Q32" s="24">
        <f>M32+Q31</f>
        <v>2405</v>
      </c>
      <c r="R32" s="29">
        <f>M32+Q31</f>
        <v>2405</v>
      </c>
    </row>
    <row r="33" spans="1:18" ht="14.25" customHeight="1">
      <c r="A33" s="31"/>
      <c r="B33" s="133"/>
      <c r="C33" s="180">
        <v>781</v>
      </c>
      <c r="D33" s="155" t="s">
        <v>218</v>
      </c>
      <c r="E33" s="91" t="s">
        <v>474</v>
      </c>
      <c r="F33" s="10">
        <v>89</v>
      </c>
      <c r="G33" s="82">
        <v>13.1</v>
      </c>
      <c r="H33" s="34">
        <f>G35</f>
        <v>558</v>
      </c>
      <c r="I33" s="83">
        <v>4.74</v>
      </c>
      <c r="J33" s="34">
        <f>G36+I35</f>
        <v>1048</v>
      </c>
      <c r="K33" s="83">
        <v>1.34</v>
      </c>
      <c r="L33" s="18">
        <f>I36+K35</f>
        <v>1497</v>
      </c>
      <c r="M33" s="83">
        <v>7.58</v>
      </c>
      <c r="N33" s="27">
        <f>K36+M35</f>
        <v>1869</v>
      </c>
      <c r="O33" s="84">
        <v>2</v>
      </c>
      <c r="P33" s="7" t="s">
        <v>25</v>
      </c>
      <c r="Q33" s="184" t="s">
        <v>463</v>
      </c>
      <c r="R33" s="28">
        <f>M36+Q35</f>
        <v>2387</v>
      </c>
    </row>
    <row r="34" spans="1:18" ht="12.75" customHeight="1">
      <c r="A34" s="32">
        <v>6</v>
      </c>
      <c r="B34" s="131"/>
      <c r="C34" s="20"/>
      <c r="D34" s="20"/>
      <c r="E34" s="10"/>
      <c r="F34" s="26">
        <v>90</v>
      </c>
      <c r="G34" s="85"/>
      <c r="H34" s="35">
        <f>G35</f>
        <v>558</v>
      </c>
      <c r="I34" s="85"/>
      <c r="J34" s="35">
        <f>G36+I35</f>
        <v>1048</v>
      </c>
      <c r="K34" s="14"/>
      <c r="L34" s="18">
        <f>I36+K35</f>
        <v>1497</v>
      </c>
      <c r="M34" s="14"/>
      <c r="N34" s="19">
        <f>K36+M35</f>
        <v>1869</v>
      </c>
      <c r="O34" s="14"/>
      <c r="P34" s="14"/>
      <c r="Q34" s="14"/>
      <c r="R34" s="29">
        <f>M36+Q35</f>
        <v>2387</v>
      </c>
    </row>
    <row r="35" spans="1:21" ht="14.25" customHeight="1">
      <c r="A35" s="32"/>
      <c r="B35" s="131"/>
      <c r="C35" s="11" t="s">
        <v>226</v>
      </c>
      <c r="D35" s="11"/>
      <c r="E35" s="25">
        <f>R33</f>
        <v>2387</v>
      </c>
      <c r="F35" s="100">
        <v>91</v>
      </c>
      <c r="G35" s="39">
        <f>IF(G33=0,0,VLOOKUP(G33,Tables!$D$3:$E$152,2,TRUE))</f>
        <v>558</v>
      </c>
      <c r="H35" s="35">
        <f>G35</f>
        <v>558</v>
      </c>
      <c r="I35" s="17">
        <f>ROUNDDOWN(0.188807*(100*I33-210)^1.41,0)</f>
        <v>490</v>
      </c>
      <c r="J35" s="35">
        <f>G36+I35</f>
        <v>1048</v>
      </c>
      <c r="K35" s="17">
        <f>ROUNDDOWN(1.84523*(100*K33-75)^1.348,0)</f>
        <v>449</v>
      </c>
      <c r="L35" s="18">
        <f>I36+K35</f>
        <v>1497</v>
      </c>
      <c r="M35" s="17">
        <f>ROUNDDOWN(56.0211*(M33-1.5)^1.05,0)</f>
        <v>372</v>
      </c>
      <c r="N35" s="19">
        <f>K36+M35</f>
        <v>1869</v>
      </c>
      <c r="O35" s="14"/>
      <c r="P35" s="14"/>
      <c r="Q35" s="23">
        <f>IF(O33+Q33=0,0,TRUNC(0.11193*((254-(O33*60+Q33))^1.88)))</f>
        <v>518</v>
      </c>
      <c r="R35" s="29">
        <f>M36+Q35</f>
        <v>2387</v>
      </c>
      <c r="U35" s="2"/>
    </row>
    <row r="36" spans="1:18" ht="14.25" customHeight="1">
      <c r="A36" s="33"/>
      <c r="B36" s="132"/>
      <c r="C36" s="8"/>
      <c r="D36" s="8"/>
      <c r="E36" s="8"/>
      <c r="F36" s="10">
        <v>92</v>
      </c>
      <c r="G36" s="15">
        <f>G35</f>
        <v>558</v>
      </c>
      <c r="H36" s="36">
        <f>G35</f>
        <v>558</v>
      </c>
      <c r="I36" s="15">
        <f>G36+I35</f>
        <v>1048</v>
      </c>
      <c r="J36" s="35">
        <f>G36+I35</f>
        <v>1048</v>
      </c>
      <c r="K36" s="15">
        <f>I36+K35</f>
        <v>1497</v>
      </c>
      <c r="L36" s="15">
        <f>I36+K35</f>
        <v>1497</v>
      </c>
      <c r="M36" s="15">
        <f>K36+M35</f>
        <v>1869</v>
      </c>
      <c r="N36" s="9">
        <f>K36+M35</f>
        <v>1869</v>
      </c>
      <c r="O36" s="15"/>
      <c r="P36" s="15"/>
      <c r="Q36" s="24">
        <f>M36+Q35</f>
        <v>2387</v>
      </c>
      <c r="R36" s="29">
        <f>M36+Q35</f>
        <v>2387</v>
      </c>
    </row>
    <row r="37" spans="1:18" ht="14.25" customHeight="1">
      <c r="A37" s="31"/>
      <c r="B37" s="133"/>
      <c r="C37" s="180">
        <v>761</v>
      </c>
      <c r="D37" s="155" t="s">
        <v>200</v>
      </c>
      <c r="E37" s="136" t="s">
        <v>475</v>
      </c>
      <c r="F37" s="26">
        <v>9</v>
      </c>
      <c r="G37" s="102">
        <v>13.5</v>
      </c>
      <c r="H37" s="34">
        <f>G39</f>
        <v>521</v>
      </c>
      <c r="I37" s="101">
        <v>4.29</v>
      </c>
      <c r="J37" s="34">
        <f>G40+I39</f>
        <v>897</v>
      </c>
      <c r="K37" s="101">
        <v>1.47</v>
      </c>
      <c r="L37" s="18">
        <f>I40+K39</f>
        <v>1485</v>
      </c>
      <c r="M37" s="101">
        <v>7.52</v>
      </c>
      <c r="N37" s="27">
        <f>K40+M39</f>
        <v>1853</v>
      </c>
      <c r="O37" s="122">
        <v>2</v>
      </c>
      <c r="P37" s="19" t="s">
        <v>25</v>
      </c>
      <c r="Q37" s="172" t="s">
        <v>467</v>
      </c>
      <c r="R37" s="28">
        <f>M40+Q39</f>
        <v>2244</v>
      </c>
    </row>
    <row r="38" spans="1:18" ht="12.75" customHeight="1">
      <c r="A38" s="32">
        <v>7</v>
      </c>
      <c r="B38" s="131"/>
      <c r="E38" s="10"/>
      <c r="F38" s="100">
        <v>10</v>
      </c>
      <c r="G38" s="85"/>
      <c r="H38" s="35">
        <f>G39</f>
        <v>521</v>
      </c>
      <c r="I38" s="85"/>
      <c r="J38" s="35">
        <f>G40+I39</f>
        <v>897</v>
      </c>
      <c r="K38" s="14"/>
      <c r="L38" s="18">
        <f>I40+K39</f>
        <v>1485</v>
      </c>
      <c r="M38" s="14"/>
      <c r="N38" s="19">
        <f>K40+M39</f>
        <v>1853</v>
      </c>
      <c r="O38" s="14"/>
      <c r="P38" s="14"/>
      <c r="Q38" s="14"/>
      <c r="R38" s="29">
        <f>M40+Q39</f>
        <v>2244</v>
      </c>
    </row>
    <row r="39" spans="1:21" ht="14.25" customHeight="1">
      <c r="A39" s="32"/>
      <c r="B39" s="198">
        <v>3</v>
      </c>
      <c r="C39" s="11" t="s">
        <v>221</v>
      </c>
      <c r="D39" s="11"/>
      <c r="E39" s="25">
        <f>R37</f>
        <v>2244</v>
      </c>
      <c r="F39" s="10">
        <v>11</v>
      </c>
      <c r="G39" s="39">
        <f>IF(G37=0,0,VLOOKUP(G37,Tables!$D$3:$E$152,2,TRUE))</f>
        <v>521</v>
      </c>
      <c r="H39" s="35">
        <f>G39</f>
        <v>521</v>
      </c>
      <c r="I39" s="17">
        <f>ROUNDDOWN(0.188807*(100*I37-210)^1.41,0)</f>
        <v>376</v>
      </c>
      <c r="J39" s="35">
        <f>G40+I39</f>
        <v>897</v>
      </c>
      <c r="K39" s="17">
        <f>ROUNDDOWN(1.84523*(100*K37-75)^1.348,0)</f>
        <v>588</v>
      </c>
      <c r="L39" s="18">
        <f>I40+K39</f>
        <v>1485</v>
      </c>
      <c r="M39" s="17">
        <f>ROUNDDOWN(56.0211*(M37-1.5)^1.05,0)</f>
        <v>368</v>
      </c>
      <c r="N39" s="19">
        <f>K40+M39</f>
        <v>1853</v>
      </c>
      <c r="O39" s="14"/>
      <c r="P39" s="14"/>
      <c r="Q39" s="23">
        <f>IF(O37+Q37=0,0,TRUNC(0.11193*((254-(O37*60+Q37))^1.88)))</f>
        <v>391</v>
      </c>
      <c r="R39" s="29">
        <f>M40+Q39</f>
        <v>2244</v>
      </c>
      <c r="U39" s="2"/>
    </row>
    <row r="40" spans="1:18" ht="14.25" customHeight="1">
      <c r="A40" s="33"/>
      <c r="B40" s="80"/>
      <c r="C40" s="8"/>
      <c r="D40" s="8"/>
      <c r="E40" s="8"/>
      <c r="F40" s="26">
        <v>12</v>
      </c>
      <c r="G40" s="15">
        <f>G39</f>
        <v>521</v>
      </c>
      <c r="H40" s="36">
        <f>G39</f>
        <v>521</v>
      </c>
      <c r="I40" s="15">
        <f>G40+I39</f>
        <v>897</v>
      </c>
      <c r="J40" s="35">
        <f>G40+I39</f>
        <v>897</v>
      </c>
      <c r="K40" s="15">
        <f>I40+K39</f>
        <v>1485</v>
      </c>
      <c r="L40" s="15">
        <f>I40+K39</f>
        <v>1485</v>
      </c>
      <c r="M40" s="15">
        <f>K40+M39</f>
        <v>1853</v>
      </c>
      <c r="N40" s="9">
        <f>K40+M39</f>
        <v>1853</v>
      </c>
      <c r="O40" s="15"/>
      <c r="P40" s="15"/>
      <c r="Q40" s="24">
        <f>M40+Q39</f>
        <v>2244</v>
      </c>
      <c r="R40" s="29">
        <f>M40+Q39</f>
        <v>2244</v>
      </c>
    </row>
    <row r="41" spans="1:18" ht="14.25" customHeight="1">
      <c r="A41" s="31"/>
      <c r="B41" s="133"/>
      <c r="C41" s="180">
        <v>783</v>
      </c>
      <c r="D41" s="155" t="s">
        <v>220</v>
      </c>
      <c r="E41" s="91" t="s">
        <v>476</v>
      </c>
      <c r="F41" s="100">
        <v>97</v>
      </c>
      <c r="G41" s="82">
        <v>12.8</v>
      </c>
      <c r="H41" s="34">
        <f>G43</f>
        <v>588</v>
      </c>
      <c r="I41" s="83">
        <v>4.11</v>
      </c>
      <c r="J41" s="34">
        <f>G44+I43</f>
        <v>921</v>
      </c>
      <c r="K41" s="83">
        <v>1.28</v>
      </c>
      <c r="L41" s="18">
        <f>I44+K43</f>
        <v>1310</v>
      </c>
      <c r="M41" s="83">
        <v>7.44</v>
      </c>
      <c r="N41" s="27">
        <f>K44+M43</f>
        <v>1673</v>
      </c>
      <c r="O41" s="84">
        <v>2</v>
      </c>
      <c r="P41" s="7" t="s">
        <v>25</v>
      </c>
      <c r="Q41" s="184" t="s">
        <v>464</v>
      </c>
      <c r="R41" s="28">
        <f>M44+Q43</f>
        <v>2149</v>
      </c>
    </row>
    <row r="42" spans="1:18" ht="12.75" customHeight="1">
      <c r="A42" s="32">
        <v>8</v>
      </c>
      <c r="B42" s="131"/>
      <c r="C42" s="20"/>
      <c r="D42" s="20"/>
      <c r="E42" s="10"/>
      <c r="F42" s="10">
        <v>98</v>
      </c>
      <c r="G42" s="85"/>
      <c r="H42" s="35">
        <f>G43</f>
        <v>588</v>
      </c>
      <c r="I42" s="85"/>
      <c r="J42" s="35">
        <f>G44+I43</f>
        <v>921</v>
      </c>
      <c r="K42" s="14"/>
      <c r="L42" s="18">
        <f>I44+K43</f>
        <v>1310</v>
      </c>
      <c r="M42" s="14"/>
      <c r="N42" s="19">
        <f>K44+M43</f>
        <v>1673</v>
      </c>
      <c r="O42" s="14"/>
      <c r="P42" s="14"/>
      <c r="Q42" s="14"/>
      <c r="R42" s="29">
        <f>M44+Q43</f>
        <v>2149</v>
      </c>
    </row>
    <row r="43" spans="1:18" ht="14.25" customHeight="1">
      <c r="A43" s="32"/>
      <c r="B43" s="131"/>
      <c r="C43" s="11" t="s">
        <v>187</v>
      </c>
      <c r="D43" s="11"/>
      <c r="E43" s="25">
        <f>R41</f>
        <v>2149</v>
      </c>
      <c r="F43" s="26">
        <v>99</v>
      </c>
      <c r="G43" s="39">
        <f>IF(G41=0,0,VLOOKUP(G41,Tables!$D$3:$E$152,2,TRUE))</f>
        <v>588</v>
      </c>
      <c r="H43" s="35">
        <f>G43</f>
        <v>588</v>
      </c>
      <c r="I43" s="17">
        <f>ROUNDDOWN(0.188807*(100*I41-210)^1.41,0)</f>
        <v>333</v>
      </c>
      <c r="J43" s="35">
        <f>G44+I43</f>
        <v>921</v>
      </c>
      <c r="K43" s="17">
        <f>ROUNDDOWN(1.84523*(100*K41-75)^1.348,0)</f>
        <v>389</v>
      </c>
      <c r="L43" s="18">
        <f>I44+K43</f>
        <v>1310</v>
      </c>
      <c r="M43" s="17">
        <f>ROUNDDOWN(56.0211*(M41-1.5)^1.05,0)</f>
        <v>363</v>
      </c>
      <c r="N43" s="19">
        <f>K44+M43</f>
        <v>1673</v>
      </c>
      <c r="O43" s="14"/>
      <c r="P43" s="14"/>
      <c r="Q43" s="23">
        <f>IF(O41+Q41=0,0,TRUNC(0.11193*((254-(O41*60+Q41))^1.88)))</f>
        <v>476</v>
      </c>
      <c r="R43" s="29">
        <f>M44+Q43</f>
        <v>2149</v>
      </c>
    </row>
    <row r="44" spans="1:18" ht="14.25" customHeight="1">
      <c r="A44" s="33"/>
      <c r="B44" s="80"/>
      <c r="C44" s="8"/>
      <c r="D44" s="8"/>
      <c r="E44" s="8"/>
      <c r="F44" s="100">
        <v>100</v>
      </c>
      <c r="G44" s="15">
        <f>G43</f>
        <v>588</v>
      </c>
      <c r="H44" s="36">
        <f>G43</f>
        <v>588</v>
      </c>
      <c r="I44" s="15">
        <f>G44+I43</f>
        <v>921</v>
      </c>
      <c r="J44" s="35">
        <f>G44+I43</f>
        <v>921</v>
      </c>
      <c r="K44" s="15">
        <f>I44+K43</f>
        <v>1310</v>
      </c>
      <c r="L44" s="15">
        <f>I44+K43</f>
        <v>1310</v>
      </c>
      <c r="M44" s="15">
        <f>K44+M43</f>
        <v>1673</v>
      </c>
      <c r="N44" s="9">
        <f>K44+M43</f>
        <v>1673</v>
      </c>
      <c r="O44" s="15"/>
      <c r="P44" s="15"/>
      <c r="Q44" s="24">
        <f>M44+Q43</f>
        <v>2149</v>
      </c>
      <c r="R44" s="29">
        <f>M44+Q43</f>
        <v>2149</v>
      </c>
    </row>
    <row r="45" spans="1:18" ht="14.25" customHeight="1">
      <c r="A45" s="31"/>
      <c r="B45" s="133"/>
      <c r="C45" s="180">
        <v>762</v>
      </c>
      <c r="D45" s="155" t="s">
        <v>201</v>
      </c>
      <c r="E45" s="136" t="s">
        <v>477</v>
      </c>
      <c r="F45" s="100">
        <v>13</v>
      </c>
      <c r="G45" s="102">
        <v>13.5</v>
      </c>
      <c r="H45" s="34">
        <f>G47</f>
        <v>521</v>
      </c>
      <c r="I45" s="101">
        <v>4.67</v>
      </c>
      <c r="J45" s="34">
        <f>G48+I47</f>
        <v>993</v>
      </c>
      <c r="K45" s="101">
        <v>1.28</v>
      </c>
      <c r="L45" s="18">
        <f>I48+K47</f>
        <v>1382</v>
      </c>
      <c r="M45" s="101">
        <v>6.38</v>
      </c>
      <c r="N45" s="27">
        <f>K48+M47</f>
        <v>1677</v>
      </c>
      <c r="O45" s="122">
        <v>2</v>
      </c>
      <c r="P45" s="19" t="s">
        <v>25</v>
      </c>
      <c r="Q45" s="172" t="s">
        <v>466</v>
      </c>
      <c r="R45" s="28">
        <f>M48+Q47</f>
        <v>2106</v>
      </c>
    </row>
    <row r="46" spans="1:18" ht="14.25" customHeight="1">
      <c r="A46" s="32">
        <v>9</v>
      </c>
      <c r="B46" s="131"/>
      <c r="E46" s="10"/>
      <c r="F46" s="10">
        <v>14</v>
      </c>
      <c r="G46" s="85"/>
      <c r="H46" s="35">
        <f>G47</f>
        <v>521</v>
      </c>
      <c r="I46" s="85"/>
      <c r="J46" s="35">
        <f>G48+I47</f>
        <v>993</v>
      </c>
      <c r="K46" s="14"/>
      <c r="L46" s="18">
        <f>I48+K47</f>
        <v>1382</v>
      </c>
      <c r="M46" s="14"/>
      <c r="N46" s="19">
        <f>K48+M47</f>
        <v>1677</v>
      </c>
      <c r="O46" s="14"/>
      <c r="P46" s="14"/>
      <c r="Q46" s="14"/>
      <c r="R46" s="29">
        <f>M48+Q47</f>
        <v>2106</v>
      </c>
    </row>
    <row r="47" spans="1:18" ht="14.25" customHeight="1">
      <c r="A47" s="32"/>
      <c r="B47" s="131"/>
      <c r="C47" s="11" t="s">
        <v>222</v>
      </c>
      <c r="D47" s="11"/>
      <c r="E47" s="25">
        <f>R45</f>
        <v>2106</v>
      </c>
      <c r="F47" s="26">
        <v>15</v>
      </c>
      <c r="G47" s="39">
        <f>IF(G45=0,0,VLOOKUP(G45,Tables!$D$3:$E$152,2,TRUE))</f>
        <v>521</v>
      </c>
      <c r="H47" s="35">
        <f>G47</f>
        <v>521</v>
      </c>
      <c r="I47" s="17">
        <f>ROUNDDOWN(0.188807*(100*I45-210)^1.41,0)</f>
        <v>472</v>
      </c>
      <c r="J47" s="35">
        <f>G48+I47</f>
        <v>993</v>
      </c>
      <c r="K47" s="17">
        <f>ROUNDDOWN(1.84523*(100*K45-75)^1.348,0)</f>
        <v>389</v>
      </c>
      <c r="L47" s="18">
        <f>I48+K47</f>
        <v>1382</v>
      </c>
      <c r="M47" s="17">
        <f>ROUNDDOWN(56.0211*(M45-1.5)^1.05,0)</f>
        <v>295</v>
      </c>
      <c r="N47" s="19">
        <f>K48+M47</f>
        <v>1677</v>
      </c>
      <c r="O47" s="14"/>
      <c r="P47" s="14"/>
      <c r="Q47" s="23">
        <f>IF(O45+Q45=0,0,TRUNC(0.11193*((254-(O45*60+Q45))^1.88)))</f>
        <v>429</v>
      </c>
      <c r="R47" s="29">
        <f>M48+Q47</f>
        <v>2106</v>
      </c>
    </row>
    <row r="48" spans="1:18" ht="14.25" customHeight="1">
      <c r="A48" s="33"/>
      <c r="B48" s="80"/>
      <c r="C48" s="8"/>
      <c r="D48" s="8"/>
      <c r="E48" s="8"/>
      <c r="F48" s="100">
        <v>16</v>
      </c>
      <c r="G48" s="15">
        <f>G47</f>
        <v>521</v>
      </c>
      <c r="H48" s="36">
        <f>G47</f>
        <v>521</v>
      </c>
      <c r="I48" s="15">
        <f>G48+I47</f>
        <v>993</v>
      </c>
      <c r="J48" s="35">
        <f>G48+I47</f>
        <v>993</v>
      </c>
      <c r="K48" s="15">
        <f>I48+K47</f>
        <v>1382</v>
      </c>
      <c r="L48" s="15">
        <f>I48+K47</f>
        <v>1382</v>
      </c>
      <c r="M48" s="15">
        <f>K48+M47</f>
        <v>1677</v>
      </c>
      <c r="N48" s="9">
        <f>K48+M47</f>
        <v>1677</v>
      </c>
      <c r="O48" s="15"/>
      <c r="P48" s="15"/>
      <c r="Q48" s="24">
        <f>M48+Q47</f>
        <v>2106</v>
      </c>
      <c r="R48" s="29">
        <f>M48+Q47</f>
        <v>2106</v>
      </c>
    </row>
    <row r="49" spans="1:18" ht="14.25" customHeight="1">
      <c r="A49" s="31"/>
      <c r="B49" s="133"/>
      <c r="C49" s="180">
        <v>780</v>
      </c>
      <c r="D49" s="155" t="s">
        <v>217</v>
      </c>
      <c r="E49" s="91" t="s">
        <v>478</v>
      </c>
      <c r="F49" s="100">
        <v>85</v>
      </c>
      <c r="G49" s="82">
        <v>13</v>
      </c>
      <c r="H49" s="34">
        <f>G51</f>
        <v>568</v>
      </c>
      <c r="I49" s="83">
        <v>4.32</v>
      </c>
      <c r="J49" s="34">
        <f>G52+I51</f>
        <v>952</v>
      </c>
      <c r="K49" s="83">
        <v>1.25</v>
      </c>
      <c r="L49" s="18">
        <f>I52+K51</f>
        <v>1311</v>
      </c>
      <c r="M49" s="83">
        <v>5.68</v>
      </c>
      <c r="N49" s="27">
        <f>K52+M51</f>
        <v>1562</v>
      </c>
      <c r="O49" s="84">
        <v>2</v>
      </c>
      <c r="P49" s="7" t="s">
        <v>25</v>
      </c>
      <c r="Q49" s="184" t="s">
        <v>449</v>
      </c>
      <c r="R49" s="28">
        <f>M52+Q51</f>
        <v>2099</v>
      </c>
    </row>
    <row r="50" spans="1:18" ht="14.25" customHeight="1">
      <c r="A50" s="32">
        <v>10</v>
      </c>
      <c r="B50" s="131"/>
      <c r="C50" s="20"/>
      <c r="D50" s="20"/>
      <c r="E50" s="10"/>
      <c r="F50" s="10">
        <v>86</v>
      </c>
      <c r="G50" s="85"/>
      <c r="H50" s="35">
        <f>G51</f>
        <v>568</v>
      </c>
      <c r="I50" s="85"/>
      <c r="J50" s="35">
        <f>G52+I51</f>
        <v>952</v>
      </c>
      <c r="K50" s="14"/>
      <c r="L50" s="18">
        <f>I52+K51</f>
        <v>1311</v>
      </c>
      <c r="M50" s="14"/>
      <c r="N50" s="19">
        <f>K52+M51</f>
        <v>1562</v>
      </c>
      <c r="O50" s="14"/>
      <c r="P50" s="14"/>
      <c r="Q50" s="14"/>
      <c r="R50" s="29">
        <f>M52+Q51</f>
        <v>2099</v>
      </c>
    </row>
    <row r="51" spans="1:18" ht="14.25" customHeight="1">
      <c r="A51" s="32"/>
      <c r="B51" s="154"/>
      <c r="C51" s="95" t="s">
        <v>179</v>
      </c>
      <c r="D51" s="11"/>
      <c r="E51" s="25">
        <f>R49</f>
        <v>2099</v>
      </c>
      <c r="F51" s="26">
        <v>87</v>
      </c>
      <c r="G51" s="39">
        <f>IF(G49=0,0,VLOOKUP(G49,Tables!$D$3:$E$152,2,TRUE))</f>
        <v>568</v>
      </c>
      <c r="H51" s="35">
        <f>G51</f>
        <v>568</v>
      </c>
      <c r="I51" s="17">
        <f>ROUNDDOWN(0.188807*(100*I49-210)^1.41,0)</f>
        <v>384</v>
      </c>
      <c r="J51" s="35">
        <f>G52+I51</f>
        <v>952</v>
      </c>
      <c r="K51" s="17">
        <f>ROUNDDOWN(1.84523*(100*K49-75)^1.348,0)</f>
        <v>359</v>
      </c>
      <c r="L51" s="18">
        <f>I52+K51</f>
        <v>1311</v>
      </c>
      <c r="M51" s="17">
        <f>ROUNDDOWN(56.0211*(M49-1.5)^1.05,0)</f>
        <v>251</v>
      </c>
      <c r="N51" s="19">
        <f>K52+M51</f>
        <v>1562</v>
      </c>
      <c r="O51" s="14"/>
      <c r="P51" s="14"/>
      <c r="Q51" s="23">
        <f>IF(O49+Q49=0,0,TRUNC(0.11193*((254-(O49*60+Q49))^1.88)))</f>
        <v>537</v>
      </c>
      <c r="R51" s="29">
        <f>M52+Q51</f>
        <v>2099</v>
      </c>
    </row>
    <row r="52" spans="1:18" ht="14.25" customHeight="1">
      <c r="A52" s="33"/>
      <c r="B52" s="80"/>
      <c r="C52" s="8"/>
      <c r="D52" s="8"/>
      <c r="E52" s="8"/>
      <c r="F52" s="100">
        <v>88</v>
      </c>
      <c r="G52" s="15">
        <f>G51</f>
        <v>568</v>
      </c>
      <c r="H52" s="36">
        <f>G51</f>
        <v>568</v>
      </c>
      <c r="I52" s="15">
        <f>G52+I51</f>
        <v>952</v>
      </c>
      <c r="J52" s="35">
        <f>G52+I51</f>
        <v>952</v>
      </c>
      <c r="K52" s="15">
        <f>I52+K51</f>
        <v>1311</v>
      </c>
      <c r="L52" s="15">
        <f>I52+K51</f>
        <v>1311</v>
      </c>
      <c r="M52" s="15">
        <f>K52+M51</f>
        <v>1562</v>
      </c>
      <c r="N52" s="9">
        <f>K52+M51</f>
        <v>1562</v>
      </c>
      <c r="O52" s="15"/>
      <c r="P52" s="15"/>
      <c r="Q52" s="24">
        <f>M52+Q51</f>
        <v>2099</v>
      </c>
      <c r="R52" s="29">
        <f>M52+Q51</f>
        <v>2099</v>
      </c>
    </row>
    <row r="53" spans="1:18" ht="14.25" customHeight="1">
      <c r="A53" s="31"/>
      <c r="B53" s="133"/>
      <c r="C53" s="180">
        <v>775</v>
      </c>
      <c r="D53" s="155" t="s">
        <v>212</v>
      </c>
      <c r="E53" s="136" t="s">
        <v>479</v>
      </c>
      <c r="F53" s="10">
        <v>65</v>
      </c>
      <c r="G53" s="102">
        <v>13.2</v>
      </c>
      <c r="H53" s="34">
        <f>G55</f>
        <v>549</v>
      </c>
      <c r="I53" s="101">
        <v>4.36</v>
      </c>
      <c r="J53" s="34">
        <f>G56+I55</f>
        <v>942</v>
      </c>
      <c r="K53" s="101">
        <v>1.22</v>
      </c>
      <c r="L53" s="18">
        <f>I56+K55</f>
        <v>1273</v>
      </c>
      <c r="M53" s="101">
        <v>5.57</v>
      </c>
      <c r="N53" s="27">
        <f>K56+M55</f>
        <v>1517</v>
      </c>
      <c r="O53" s="122">
        <v>2</v>
      </c>
      <c r="P53" s="19" t="s">
        <v>25</v>
      </c>
      <c r="Q53" s="172" t="s">
        <v>453</v>
      </c>
      <c r="R53" s="28">
        <f>M56+Q55</f>
        <v>1932</v>
      </c>
    </row>
    <row r="54" spans="1:18" ht="14.25" customHeight="1">
      <c r="A54" s="32">
        <v>11</v>
      </c>
      <c r="B54" s="131"/>
      <c r="E54" s="10"/>
      <c r="F54" s="26">
        <v>66</v>
      </c>
      <c r="G54" s="85"/>
      <c r="H54" s="35">
        <f>G55</f>
        <v>549</v>
      </c>
      <c r="I54" s="85"/>
      <c r="J54" s="35">
        <f>G56+I55</f>
        <v>942</v>
      </c>
      <c r="K54" s="14"/>
      <c r="L54" s="18">
        <f>I56+K55</f>
        <v>1273</v>
      </c>
      <c r="M54" s="14"/>
      <c r="N54" s="19">
        <f>K56+M55</f>
        <v>1517</v>
      </c>
      <c r="O54" s="14"/>
      <c r="P54" s="14"/>
      <c r="Q54" s="14"/>
      <c r="R54" s="29">
        <f>M56+Q55</f>
        <v>1932</v>
      </c>
    </row>
    <row r="55" spans="1:18" ht="14.25" customHeight="1">
      <c r="A55" s="32"/>
      <c r="B55" s="154"/>
      <c r="C55" s="95" t="s">
        <v>225</v>
      </c>
      <c r="D55" s="11"/>
      <c r="E55" s="25">
        <f>R53</f>
        <v>1932</v>
      </c>
      <c r="F55" s="100">
        <v>67</v>
      </c>
      <c r="G55" s="39">
        <f>IF(G53=0,0,VLOOKUP(G53,Tables!$D$3:$E$152,2,TRUE))</f>
        <v>549</v>
      </c>
      <c r="H55" s="35">
        <f>G55</f>
        <v>549</v>
      </c>
      <c r="I55" s="17">
        <f>ROUNDDOWN(0.188807*(100*I53-210)^1.41,0)</f>
        <v>393</v>
      </c>
      <c r="J55" s="35">
        <f>G56+I55</f>
        <v>942</v>
      </c>
      <c r="K55" s="17">
        <f>ROUNDDOWN(1.84523*(100*K53-75)^1.348,0)</f>
        <v>331</v>
      </c>
      <c r="L55" s="18">
        <f>I56+K55</f>
        <v>1273</v>
      </c>
      <c r="M55" s="17">
        <f>ROUNDDOWN(56.0211*(M53-1.5)^1.05,0)</f>
        <v>244</v>
      </c>
      <c r="N55" s="19">
        <f>K56+M55</f>
        <v>1517</v>
      </c>
      <c r="O55" s="14"/>
      <c r="P55" s="14"/>
      <c r="Q55" s="23">
        <f>IF(O53+Q53=0,0,TRUNC(0.11193*((254-(O53*60+Q53))^1.88)))</f>
        <v>415</v>
      </c>
      <c r="R55" s="29">
        <f>M56+Q55</f>
        <v>1932</v>
      </c>
    </row>
    <row r="56" spans="1:18" ht="14.25" customHeight="1">
      <c r="A56" s="33"/>
      <c r="B56" s="80"/>
      <c r="C56" s="8"/>
      <c r="D56" s="8"/>
      <c r="E56" s="8"/>
      <c r="F56" s="10">
        <v>68</v>
      </c>
      <c r="G56" s="15">
        <f>G55</f>
        <v>549</v>
      </c>
      <c r="H56" s="36">
        <f>G55</f>
        <v>549</v>
      </c>
      <c r="I56" s="15">
        <f>G56+I55</f>
        <v>942</v>
      </c>
      <c r="J56" s="35">
        <f>G56+I55</f>
        <v>942</v>
      </c>
      <c r="K56" s="15">
        <f>I56+K55</f>
        <v>1273</v>
      </c>
      <c r="L56" s="15">
        <f>I56+K55</f>
        <v>1273</v>
      </c>
      <c r="M56" s="15">
        <f>K56+M55</f>
        <v>1517</v>
      </c>
      <c r="N56" s="9">
        <f>K56+M55</f>
        <v>1517</v>
      </c>
      <c r="O56" s="15"/>
      <c r="P56" s="15"/>
      <c r="Q56" s="24">
        <f>M56+Q55</f>
        <v>1932</v>
      </c>
      <c r="R56" s="29">
        <f>M56+Q55</f>
        <v>1932</v>
      </c>
    </row>
    <row r="57" spans="1:23" ht="14.25" customHeight="1">
      <c r="A57" s="31"/>
      <c r="B57" s="133"/>
      <c r="C57" s="180">
        <v>771</v>
      </c>
      <c r="D57" s="155" t="s">
        <v>208</v>
      </c>
      <c r="E57" s="136" t="s">
        <v>480</v>
      </c>
      <c r="F57" s="100">
        <v>49</v>
      </c>
      <c r="G57" s="102">
        <v>12.6</v>
      </c>
      <c r="H57" s="34">
        <f>G59</f>
        <v>609</v>
      </c>
      <c r="I57" s="101">
        <v>4.54</v>
      </c>
      <c r="J57" s="34">
        <f>G60+I59</f>
        <v>1047</v>
      </c>
      <c r="K57" s="101">
        <v>1.34</v>
      </c>
      <c r="L57" s="18">
        <f>I60+K59</f>
        <v>1496</v>
      </c>
      <c r="M57" s="101">
        <v>8.5</v>
      </c>
      <c r="N57" s="27">
        <f>K60+M59</f>
        <v>1928</v>
      </c>
      <c r="O57" s="122"/>
      <c r="P57" s="19" t="s">
        <v>25</v>
      </c>
      <c r="Q57" s="172" t="s">
        <v>468</v>
      </c>
      <c r="R57" s="28">
        <f>M60+Q59</f>
        <v>1928</v>
      </c>
      <c r="S57" s="20"/>
      <c r="W57" s="22"/>
    </row>
    <row r="58" spans="1:19" ht="14.25" customHeight="1">
      <c r="A58" s="32">
        <v>12</v>
      </c>
      <c r="B58" s="131"/>
      <c r="E58" s="10"/>
      <c r="F58" s="10">
        <v>50</v>
      </c>
      <c r="G58" s="85"/>
      <c r="H58" s="35">
        <f>G59</f>
        <v>609</v>
      </c>
      <c r="I58" s="85"/>
      <c r="J58" s="35">
        <f>G60+I59</f>
        <v>1047</v>
      </c>
      <c r="K58" s="14"/>
      <c r="L58" s="18">
        <f>I60+K59</f>
        <v>1496</v>
      </c>
      <c r="M58" s="14"/>
      <c r="N58" s="19">
        <f>K60+M59</f>
        <v>1928</v>
      </c>
      <c r="O58" s="14"/>
      <c r="P58" s="14"/>
      <c r="Q58" s="14"/>
      <c r="R58" s="29">
        <f>M60+Q59</f>
        <v>1928</v>
      </c>
      <c r="S58" s="20"/>
    </row>
    <row r="59" spans="1:20" ht="12.75" customHeight="1">
      <c r="A59" s="32"/>
      <c r="B59" s="154"/>
      <c r="C59" s="11" t="s">
        <v>100</v>
      </c>
      <c r="D59" s="11"/>
      <c r="E59" s="25">
        <f>R57</f>
        <v>1928</v>
      </c>
      <c r="F59" s="26">
        <v>51</v>
      </c>
      <c r="G59" s="39">
        <f>IF(G57=0,0,VLOOKUP(G57,Tables!$D$3:$E$152,2,TRUE))</f>
        <v>609</v>
      </c>
      <c r="H59" s="35">
        <f>G59</f>
        <v>609</v>
      </c>
      <c r="I59" s="17">
        <f>ROUNDDOWN(0.188807*(100*I57-210)^1.41,0)</f>
        <v>438</v>
      </c>
      <c r="J59" s="35">
        <f>G60+I59</f>
        <v>1047</v>
      </c>
      <c r="K59" s="17">
        <f>ROUNDDOWN(1.84523*(100*K57-75)^1.348,0)</f>
        <v>449</v>
      </c>
      <c r="L59" s="18">
        <f>I60+K59</f>
        <v>1496</v>
      </c>
      <c r="M59" s="17">
        <f>ROUNDDOWN(56.0211*(M57-1.5)^1.05,0)</f>
        <v>432</v>
      </c>
      <c r="N59" s="19">
        <f>K60+M59</f>
        <v>1928</v>
      </c>
      <c r="O59" s="14"/>
      <c r="P59" s="14"/>
      <c r="Q59" s="23">
        <v>0</v>
      </c>
      <c r="R59" s="29">
        <f>M60+Q59</f>
        <v>1928</v>
      </c>
      <c r="S59" s="20"/>
      <c r="T59" s="16"/>
    </row>
    <row r="60" spans="1:19" ht="14.25" customHeight="1">
      <c r="A60" s="33"/>
      <c r="B60" s="80"/>
      <c r="C60" s="8"/>
      <c r="D60" s="8"/>
      <c r="E60" s="8"/>
      <c r="F60" s="100">
        <v>52</v>
      </c>
      <c r="G60" s="15">
        <f>G59</f>
        <v>609</v>
      </c>
      <c r="H60" s="36">
        <f>G59</f>
        <v>609</v>
      </c>
      <c r="I60" s="15">
        <f>G60+I59</f>
        <v>1047</v>
      </c>
      <c r="J60" s="35">
        <f>G60+I59</f>
        <v>1047</v>
      </c>
      <c r="K60" s="15">
        <f>I60+K59</f>
        <v>1496</v>
      </c>
      <c r="L60" s="15">
        <f>I60+K59</f>
        <v>1496</v>
      </c>
      <c r="M60" s="15">
        <f>K60+M59</f>
        <v>1928</v>
      </c>
      <c r="N60" s="9">
        <f>K60+M59</f>
        <v>1928</v>
      </c>
      <c r="O60" s="15"/>
      <c r="P60" s="15"/>
      <c r="Q60" s="24">
        <f>M60+Q59</f>
        <v>1928</v>
      </c>
      <c r="R60" s="29">
        <f>M60+Q59</f>
        <v>1928</v>
      </c>
      <c r="S60" s="20"/>
    </row>
    <row r="61" spans="1:19" ht="14.25" customHeight="1">
      <c r="A61" s="31"/>
      <c r="B61" s="133"/>
      <c r="C61" s="180">
        <v>760</v>
      </c>
      <c r="D61" s="155" t="s">
        <v>199</v>
      </c>
      <c r="E61" s="136" t="s">
        <v>481</v>
      </c>
      <c r="F61" s="10">
        <v>5</v>
      </c>
      <c r="G61" s="102">
        <v>15.6</v>
      </c>
      <c r="H61" s="34">
        <f>G63</f>
        <v>355</v>
      </c>
      <c r="I61" s="101">
        <v>4.45</v>
      </c>
      <c r="J61" s="34">
        <f>G64+I63</f>
        <v>771</v>
      </c>
      <c r="K61" s="101">
        <v>1.43</v>
      </c>
      <c r="L61" s="18">
        <f>I64+K63</f>
        <v>1315</v>
      </c>
      <c r="M61" s="101">
        <v>6.15</v>
      </c>
      <c r="N61" s="27">
        <f>K64+M63</f>
        <v>1596</v>
      </c>
      <c r="O61" s="122">
        <v>3</v>
      </c>
      <c r="P61" s="19" t="s">
        <v>25</v>
      </c>
      <c r="Q61" s="172" t="s">
        <v>396</v>
      </c>
      <c r="R61" s="28">
        <f>M64+Q63</f>
        <v>1839</v>
      </c>
      <c r="S61" s="20"/>
    </row>
    <row r="62" spans="1:19" ht="14.25" customHeight="1">
      <c r="A62" s="32">
        <v>13</v>
      </c>
      <c r="B62" s="131"/>
      <c r="E62" s="10"/>
      <c r="F62" s="26">
        <v>6</v>
      </c>
      <c r="G62" s="85"/>
      <c r="H62" s="35">
        <f>G63</f>
        <v>355</v>
      </c>
      <c r="I62" s="85"/>
      <c r="J62" s="35">
        <f>G64+I63</f>
        <v>771</v>
      </c>
      <c r="K62" s="14"/>
      <c r="L62" s="18">
        <f>I64+K63</f>
        <v>1315</v>
      </c>
      <c r="M62" s="14"/>
      <c r="N62" s="19">
        <f>K64+M63</f>
        <v>1596</v>
      </c>
      <c r="O62" s="14"/>
      <c r="P62" s="14"/>
      <c r="Q62" s="14"/>
      <c r="R62" s="29">
        <f>M64+Q63</f>
        <v>1839</v>
      </c>
      <c r="S62" s="20"/>
    </row>
    <row r="63" spans="1:19" ht="12.75" customHeight="1">
      <c r="A63" s="32"/>
      <c r="B63" s="154"/>
      <c r="C63" s="11" t="s">
        <v>141</v>
      </c>
      <c r="D63" s="11"/>
      <c r="E63" s="25">
        <f>R61</f>
        <v>1839</v>
      </c>
      <c r="F63" s="100">
        <v>7</v>
      </c>
      <c r="G63" s="39">
        <f>IF(G61=0,0,VLOOKUP(G61,Tables!$D$3:$E$152,2,TRUE))</f>
        <v>355</v>
      </c>
      <c r="H63" s="35">
        <f>G63</f>
        <v>355</v>
      </c>
      <c r="I63" s="17">
        <f>ROUNDDOWN(0.188807*(100*I61-210)^1.41,0)</f>
        <v>416</v>
      </c>
      <c r="J63" s="35">
        <f>G64+I63</f>
        <v>771</v>
      </c>
      <c r="K63" s="17">
        <f>ROUNDDOWN(1.84523*(100*K61-75)^1.348,0)</f>
        <v>544</v>
      </c>
      <c r="L63" s="18">
        <f>I64+K63</f>
        <v>1315</v>
      </c>
      <c r="M63" s="17">
        <f>ROUNDDOWN(56.0211*(M61-1.5)^1.05,0)</f>
        <v>281</v>
      </c>
      <c r="N63" s="19">
        <f>K64+M63</f>
        <v>1596</v>
      </c>
      <c r="O63" s="14"/>
      <c r="P63" s="14"/>
      <c r="Q63" s="23">
        <f>IF(O61+Q61=0,0,TRUNC(0.11193*((254-(O61*60+Q61))^1.88)))</f>
        <v>243</v>
      </c>
      <c r="R63" s="29">
        <f>M64+Q63</f>
        <v>1839</v>
      </c>
      <c r="S63" s="20"/>
    </row>
    <row r="64" spans="1:19" ht="14.25" customHeight="1">
      <c r="A64" s="33"/>
      <c r="B64" s="80"/>
      <c r="C64" s="8"/>
      <c r="D64" s="8"/>
      <c r="E64" s="8"/>
      <c r="F64" s="10">
        <v>8</v>
      </c>
      <c r="G64" s="15">
        <f>G63</f>
        <v>355</v>
      </c>
      <c r="H64" s="36">
        <f>G63</f>
        <v>355</v>
      </c>
      <c r="I64" s="15">
        <f>G64+I63</f>
        <v>771</v>
      </c>
      <c r="J64" s="35">
        <f>G64+I63</f>
        <v>771</v>
      </c>
      <c r="K64" s="15">
        <f>I64+K63</f>
        <v>1315</v>
      </c>
      <c r="L64" s="15">
        <f>I64+K63</f>
        <v>1315</v>
      </c>
      <c r="M64" s="15">
        <f>K64+M63</f>
        <v>1596</v>
      </c>
      <c r="N64" s="9">
        <f>K64+M63</f>
        <v>1596</v>
      </c>
      <c r="O64" s="15"/>
      <c r="P64" s="15"/>
      <c r="Q64" s="24">
        <f>M64+Q63</f>
        <v>1839</v>
      </c>
      <c r="R64" s="29">
        <f>M64+Q63</f>
        <v>1839</v>
      </c>
      <c r="S64" s="20"/>
    </row>
    <row r="65" spans="1:19" ht="14.25" customHeight="1">
      <c r="A65" s="31"/>
      <c r="B65" s="133"/>
      <c r="C65" s="180">
        <v>778</v>
      </c>
      <c r="D65" s="155" t="s">
        <v>215</v>
      </c>
      <c r="E65" s="136" t="s">
        <v>482</v>
      </c>
      <c r="F65" s="10">
        <v>77</v>
      </c>
      <c r="G65" s="102">
        <v>15.7</v>
      </c>
      <c r="H65" s="34">
        <f>G67</f>
        <v>348</v>
      </c>
      <c r="I65" s="101">
        <v>3.84</v>
      </c>
      <c r="J65" s="34">
        <f>G68+I67</f>
        <v>620</v>
      </c>
      <c r="K65" s="101">
        <v>1.37</v>
      </c>
      <c r="L65" s="18">
        <f>I68+K67</f>
        <v>1101</v>
      </c>
      <c r="M65" s="101">
        <v>5.78</v>
      </c>
      <c r="N65" s="27">
        <f>K68+M67</f>
        <v>1358</v>
      </c>
      <c r="O65" s="122">
        <v>2</v>
      </c>
      <c r="P65" s="19" t="s">
        <v>25</v>
      </c>
      <c r="Q65" s="172" t="s">
        <v>451</v>
      </c>
      <c r="R65" s="28">
        <f>M68+Q67</f>
        <v>1817</v>
      </c>
      <c r="S65" s="20"/>
    </row>
    <row r="66" spans="1:19" ht="14.25" customHeight="1">
      <c r="A66" s="32">
        <v>14</v>
      </c>
      <c r="B66" s="131"/>
      <c r="E66" s="10"/>
      <c r="F66" s="26">
        <v>78</v>
      </c>
      <c r="G66" s="85"/>
      <c r="H66" s="35">
        <f>G67</f>
        <v>348</v>
      </c>
      <c r="I66" s="85"/>
      <c r="J66" s="35">
        <f>G68+I67</f>
        <v>620</v>
      </c>
      <c r="K66" s="14"/>
      <c r="L66" s="18">
        <f>I68+K67</f>
        <v>1101</v>
      </c>
      <c r="M66" s="14"/>
      <c r="N66" s="19">
        <f>K68+M67</f>
        <v>1358</v>
      </c>
      <c r="O66" s="14"/>
      <c r="P66" s="14"/>
      <c r="Q66" s="14"/>
      <c r="R66" s="29">
        <f>M68+Q67</f>
        <v>1817</v>
      </c>
      <c r="S66" s="20"/>
    </row>
    <row r="67" spans="1:19" ht="12.75" customHeight="1">
      <c r="A67" s="32"/>
      <c r="B67" s="154"/>
      <c r="C67" s="95" t="s">
        <v>179</v>
      </c>
      <c r="D67" s="11"/>
      <c r="E67" s="25">
        <f>R65</f>
        <v>1817</v>
      </c>
      <c r="F67" s="100">
        <v>79</v>
      </c>
      <c r="G67" s="39">
        <f>IF(G65=0,0,VLOOKUP(G65,Tables!$D$3:$E$152,2,TRUE))</f>
        <v>348</v>
      </c>
      <c r="H67" s="35">
        <f>G67</f>
        <v>348</v>
      </c>
      <c r="I67" s="17">
        <f>ROUNDDOWN(0.188807*(100*I65-210)^1.41,0)</f>
        <v>272</v>
      </c>
      <c r="J67" s="35">
        <f>G68+I67</f>
        <v>620</v>
      </c>
      <c r="K67" s="17">
        <f>ROUNDDOWN(1.84523*(100*K65-75)^1.348,0)</f>
        <v>481</v>
      </c>
      <c r="L67" s="18">
        <f>I68+K67</f>
        <v>1101</v>
      </c>
      <c r="M67" s="17">
        <f>ROUNDDOWN(56.0211*(M65-1.5)^1.05,0)</f>
        <v>257</v>
      </c>
      <c r="N67" s="19">
        <f>K68+M67</f>
        <v>1358</v>
      </c>
      <c r="O67" s="14"/>
      <c r="P67" s="14"/>
      <c r="Q67" s="23">
        <f>IF(O65+Q65=0,0,TRUNC(0.11193*((254-(O65*60+Q65))^1.88)))</f>
        <v>459</v>
      </c>
      <c r="R67" s="29">
        <f>M68+Q67</f>
        <v>1817</v>
      </c>
      <c r="S67" s="20"/>
    </row>
    <row r="68" spans="1:19" ht="14.25" customHeight="1">
      <c r="A68" s="33"/>
      <c r="B68" s="80"/>
      <c r="C68" s="8"/>
      <c r="D68" s="8"/>
      <c r="E68" s="8"/>
      <c r="F68" s="10">
        <v>80</v>
      </c>
      <c r="G68" s="15">
        <f>G67</f>
        <v>348</v>
      </c>
      <c r="H68" s="36">
        <f>G67</f>
        <v>348</v>
      </c>
      <c r="I68" s="15">
        <f>G68+I67</f>
        <v>620</v>
      </c>
      <c r="J68" s="35">
        <f>G68+I67</f>
        <v>620</v>
      </c>
      <c r="K68" s="15">
        <f>I68+K67</f>
        <v>1101</v>
      </c>
      <c r="L68" s="15">
        <f>I68+K67</f>
        <v>1101</v>
      </c>
      <c r="M68" s="15">
        <f>K68+M67</f>
        <v>1358</v>
      </c>
      <c r="N68" s="9">
        <f>K68+M67</f>
        <v>1358</v>
      </c>
      <c r="O68" s="15"/>
      <c r="P68" s="15"/>
      <c r="Q68" s="24">
        <f>M68+Q67</f>
        <v>1817</v>
      </c>
      <c r="R68" s="29">
        <f>M68+Q67</f>
        <v>1817</v>
      </c>
      <c r="S68" s="20"/>
    </row>
    <row r="69" spans="1:19" ht="14.25" customHeight="1">
      <c r="A69" s="31"/>
      <c r="B69" s="133"/>
      <c r="C69" s="180">
        <v>779</v>
      </c>
      <c r="D69" s="155" t="s">
        <v>216</v>
      </c>
      <c r="E69" s="136" t="s">
        <v>483</v>
      </c>
      <c r="F69" s="26">
        <v>81</v>
      </c>
      <c r="G69" s="102">
        <v>14.4</v>
      </c>
      <c r="H69" s="34">
        <f>G71</f>
        <v>446</v>
      </c>
      <c r="I69" s="101">
        <v>3.38</v>
      </c>
      <c r="J69" s="34">
        <f>G72+I71</f>
        <v>622</v>
      </c>
      <c r="K69" s="101">
        <v>1.22</v>
      </c>
      <c r="L69" s="18">
        <f>I72+K71</f>
        <v>953</v>
      </c>
      <c r="M69" s="101">
        <v>5.05</v>
      </c>
      <c r="N69" s="27">
        <f>K72+M71</f>
        <v>1164</v>
      </c>
      <c r="O69" s="122">
        <v>2</v>
      </c>
      <c r="P69" s="19" t="s">
        <v>25</v>
      </c>
      <c r="Q69" s="172" t="s">
        <v>448</v>
      </c>
      <c r="R69" s="28">
        <f>M72+Q71</f>
        <v>1712</v>
      </c>
      <c r="S69" s="20"/>
    </row>
    <row r="70" spans="1:19" ht="14.25" customHeight="1">
      <c r="A70" s="32">
        <v>15</v>
      </c>
      <c r="B70" s="131"/>
      <c r="E70" s="10"/>
      <c r="F70" s="100">
        <v>82</v>
      </c>
      <c r="G70" s="85"/>
      <c r="H70" s="35">
        <f>G71</f>
        <v>446</v>
      </c>
      <c r="I70" s="85"/>
      <c r="J70" s="35">
        <f>G72+I71</f>
        <v>622</v>
      </c>
      <c r="K70" s="14"/>
      <c r="L70" s="18">
        <f>I72+K71</f>
        <v>953</v>
      </c>
      <c r="M70" s="14"/>
      <c r="N70" s="19">
        <f>K72+M71</f>
        <v>1164</v>
      </c>
      <c r="O70" s="14"/>
      <c r="P70" s="14"/>
      <c r="Q70" s="14"/>
      <c r="R70" s="29">
        <f>M72+Q71</f>
        <v>1712</v>
      </c>
      <c r="S70" s="20"/>
    </row>
    <row r="71" spans="1:19" ht="12.75" customHeight="1">
      <c r="A71" s="32"/>
      <c r="B71" s="154"/>
      <c r="C71" s="95" t="s">
        <v>179</v>
      </c>
      <c r="D71" s="11"/>
      <c r="E71" s="25">
        <f>R69</f>
        <v>1712</v>
      </c>
      <c r="F71" s="10">
        <v>83</v>
      </c>
      <c r="G71" s="39">
        <f>IF(G69=0,0,VLOOKUP(G69,Tables!$D$3:$E$152,2,TRUE))</f>
        <v>446</v>
      </c>
      <c r="H71" s="35">
        <f>G71</f>
        <v>446</v>
      </c>
      <c r="I71" s="17">
        <f>ROUNDDOWN(0.188807*(100*I69-210)^1.41,0)</f>
        <v>176</v>
      </c>
      <c r="J71" s="35">
        <f>G72+I71</f>
        <v>622</v>
      </c>
      <c r="K71" s="17">
        <f>ROUNDDOWN(1.84523*(100*K69-75)^1.348,0)</f>
        <v>331</v>
      </c>
      <c r="L71" s="18">
        <f>I72+K71</f>
        <v>953</v>
      </c>
      <c r="M71" s="17">
        <f>ROUNDDOWN(56.0211*(M69-1.5)^1.05,0)</f>
        <v>211</v>
      </c>
      <c r="N71" s="19">
        <f>K72+M71</f>
        <v>1164</v>
      </c>
      <c r="O71" s="14"/>
      <c r="P71" s="14"/>
      <c r="Q71" s="23">
        <f>IF(O69+Q69=0,0,TRUNC(0.11193*((254-(O69*60+Q69))^1.88)))</f>
        <v>548</v>
      </c>
      <c r="R71" s="29">
        <f>M72+Q71</f>
        <v>1712</v>
      </c>
      <c r="S71" s="20"/>
    </row>
    <row r="72" spans="1:19" ht="14.25" customHeight="1">
      <c r="A72" s="33"/>
      <c r="B72" s="80"/>
      <c r="C72" s="8"/>
      <c r="D72" s="8"/>
      <c r="E72" s="8"/>
      <c r="F72" s="26">
        <v>84</v>
      </c>
      <c r="G72" s="15">
        <f>G71</f>
        <v>446</v>
      </c>
      <c r="H72" s="36">
        <f>G71</f>
        <v>446</v>
      </c>
      <c r="I72" s="15">
        <f>G72+I71</f>
        <v>622</v>
      </c>
      <c r="J72" s="35">
        <f>G72+I71</f>
        <v>622</v>
      </c>
      <c r="K72" s="15">
        <f>I72+K71</f>
        <v>953</v>
      </c>
      <c r="L72" s="15">
        <f>I72+K71</f>
        <v>953</v>
      </c>
      <c r="M72" s="15">
        <f>K72+M71</f>
        <v>1164</v>
      </c>
      <c r="N72" s="9">
        <f>K72+M71</f>
        <v>1164</v>
      </c>
      <c r="O72" s="15"/>
      <c r="P72" s="15"/>
      <c r="Q72" s="24">
        <f>M72+Q71</f>
        <v>1712</v>
      </c>
      <c r="R72" s="29">
        <f>M72+Q71</f>
        <v>1712</v>
      </c>
      <c r="S72" s="20"/>
    </row>
    <row r="73" spans="1:19" ht="14.25" customHeight="1">
      <c r="A73" s="31"/>
      <c r="B73" s="133"/>
      <c r="C73" s="180">
        <v>777</v>
      </c>
      <c r="D73" s="155" t="s">
        <v>214</v>
      </c>
      <c r="E73" s="136" t="s">
        <v>484</v>
      </c>
      <c r="F73" s="100">
        <v>73</v>
      </c>
      <c r="G73" s="102">
        <v>14.1</v>
      </c>
      <c r="H73" s="34">
        <f>G75</f>
        <v>471</v>
      </c>
      <c r="I73" s="101">
        <v>3.89</v>
      </c>
      <c r="J73" s="34">
        <f>G76+I75</f>
        <v>754</v>
      </c>
      <c r="K73" s="101">
        <v>1.22</v>
      </c>
      <c r="L73" s="18">
        <f>I76+K75</f>
        <v>1085</v>
      </c>
      <c r="M73" s="101">
        <v>8.6</v>
      </c>
      <c r="N73" s="27">
        <f>K76+M75</f>
        <v>1523</v>
      </c>
      <c r="O73" s="122">
        <v>3</v>
      </c>
      <c r="P73" s="19" t="s">
        <v>25</v>
      </c>
      <c r="Q73" s="172" t="s">
        <v>457</v>
      </c>
      <c r="R73" s="28">
        <f>M76+Q75</f>
        <v>1691</v>
      </c>
      <c r="S73" s="20"/>
    </row>
    <row r="74" spans="1:19" ht="14.25" customHeight="1">
      <c r="A74" s="32">
        <v>16</v>
      </c>
      <c r="B74" s="131"/>
      <c r="E74" s="10"/>
      <c r="F74" s="10">
        <v>74</v>
      </c>
      <c r="G74" s="85"/>
      <c r="H74" s="35">
        <f>G75</f>
        <v>471</v>
      </c>
      <c r="I74" s="85"/>
      <c r="J74" s="35">
        <f>G76+I75</f>
        <v>754</v>
      </c>
      <c r="K74" s="14"/>
      <c r="L74" s="18">
        <f>I76+K75</f>
        <v>1085</v>
      </c>
      <c r="M74" s="14"/>
      <c r="N74" s="19">
        <f>K76+M75</f>
        <v>1523</v>
      </c>
      <c r="O74" s="14"/>
      <c r="P74" s="14"/>
      <c r="Q74" s="14"/>
      <c r="R74" s="29">
        <f>M76+Q75</f>
        <v>1691</v>
      </c>
      <c r="S74" s="20"/>
    </row>
    <row r="75" spans="1:19" ht="12.75" customHeight="1">
      <c r="A75" s="32"/>
      <c r="B75" s="154"/>
      <c r="C75" s="11" t="s">
        <v>86</v>
      </c>
      <c r="D75" s="11"/>
      <c r="E75" s="25">
        <f>R73</f>
        <v>1691</v>
      </c>
      <c r="F75" s="26">
        <v>75</v>
      </c>
      <c r="G75" s="39">
        <f>IF(G73=0,0,VLOOKUP(G73,Tables!$D$3:$E$152,2,TRUE))</f>
        <v>471</v>
      </c>
      <c r="H75" s="35">
        <f>G75</f>
        <v>471</v>
      </c>
      <c r="I75" s="17">
        <f>ROUNDDOWN(0.188807*(100*I73-210)^1.41,0)</f>
        <v>283</v>
      </c>
      <c r="J75" s="35">
        <f>G76+I75</f>
        <v>754</v>
      </c>
      <c r="K75" s="17">
        <f>ROUNDDOWN(1.84523*(100*K73-75)^1.348,0)</f>
        <v>331</v>
      </c>
      <c r="L75" s="18">
        <f>I76+K75</f>
        <v>1085</v>
      </c>
      <c r="M75" s="17">
        <f>ROUNDDOWN(56.0211*(M73-1.5)^1.05,0)</f>
        <v>438</v>
      </c>
      <c r="N75" s="19">
        <f>K76+M75</f>
        <v>1523</v>
      </c>
      <c r="O75" s="14"/>
      <c r="P75" s="14"/>
      <c r="Q75" s="23">
        <f>IF(O73+Q73=0,0,TRUNC(0.11193*((254-(O73*60+Q73))^1.88)))</f>
        <v>168</v>
      </c>
      <c r="R75" s="29">
        <f>M76+Q75</f>
        <v>1691</v>
      </c>
      <c r="S75" s="20"/>
    </row>
    <row r="76" spans="1:19" ht="14.25" customHeight="1">
      <c r="A76" s="33"/>
      <c r="B76" s="80"/>
      <c r="C76" s="8"/>
      <c r="D76" s="8"/>
      <c r="E76" s="8"/>
      <c r="F76" s="100">
        <v>76</v>
      </c>
      <c r="G76" s="15">
        <f>G75</f>
        <v>471</v>
      </c>
      <c r="H76" s="36">
        <f>G75</f>
        <v>471</v>
      </c>
      <c r="I76" s="15">
        <f>G76+I75</f>
        <v>754</v>
      </c>
      <c r="J76" s="35">
        <f>G76+I75</f>
        <v>754</v>
      </c>
      <c r="K76" s="15">
        <f>I76+K75</f>
        <v>1085</v>
      </c>
      <c r="L76" s="15">
        <f>I76+K75</f>
        <v>1085</v>
      </c>
      <c r="M76" s="15">
        <f>K76+M75</f>
        <v>1523</v>
      </c>
      <c r="N76" s="9">
        <f>K76+M75</f>
        <v>1523</v>
      </c>
      <c r="O76" s="15"/>
      <c r="P76" s="15"/>
      <c r="Q76" s="24">
        <f>M76+Q75</f>
        <v>1691</v>
      </c>
      <c r="R76" s="29">
        <f>M76+Q75</f>
        <v>1691</v>
      </c>
      <c r="S76" s="20"/>
    </row>
    <row r="77" spans="1:19" ht="14.25" customHeight="1">
      <c r="A77" s="31"/>
      <c r="B77" s="133"/>
      <c r="C77" s="180">
        <v>763</v>
      </c>
      <c r="D77" s="155" t="s">
        <v>202</v>
      </c>
      <c r="E77" s="136" t="s">
        <v>485</v>
      </c>
      <c r="F77" s="10">
        <v>17</v>
      </c>
      <c r="G77" s="102">
        <v>15.8</v>
      </c>
      <c r="H77" s="34">
        <f>G79</f>
        <v>341</v>
      </c>
      <c r="I77" s="101">
        <v>3.63</v>
      </c>
      <c r="J77" s="34">
        <f>G80+I79</f>
        <v>568</v>
      </c>
      <c r="K77" s="101">
        <v>1.22</v>
      </c>
      <c r="L77" s="18">
        <f>I80+K79</f>
        <v>899</v>
      </c>
      <c r="M77" s="101">
        <v>6.38</v>
      </c>
      <c r="N77" s="27">
        <f>K80+M79</f>
        <v>1194</v>
      </c>
      <c r="O77" s="122">
        <v>2</v>
      </c>
      <c r="P77" s="19" t="s">
        <v>25</v>
      </c>
      <c r="Q77" s="172" t="s">
        <v>450</v>
      </c>
      <c r="R77" s="28">
        <f>M80+Q79</f>
        <v>1684</v>
      </c>
      <c r="S77" s="20"/>
    </row>
    <row r="78" spans="1:19" ht="14.25" customHeight="1">
      <c r="A78" s="32">
        <v>17</v>
      </c>
      <c r="B78" s="131"/>
      <c r="E78" s="10"/>
      <c r="F78" s="26">
        <v>18</v>
      </c>
      <c r="G78" s="85"/>
      <c r="H78" s="35">
        <f>G79</f>
        <v>341</v>
      </c>
      <c r="I78" s="85"/>
      <c r="J78" s="35">
        <f>G80+I79</f>
        <v>568</v>
      </c>
      <c r="K78" s="14"/>
      <c r="L78" s="18">
        <f>I80+K79</f>
        <v>899</v>
      </c>
      <c r="M78" s="14"/>
      <c r="N78" s="19">
        <f>K80+M79</f>
        <v>1194</v>
      </c>
      <c r="O78" s="14"/>
      <c r="P78" s="14"/>
      <c r="Q78" s="14"/>
      <c r="R78" s="29">
        <f>M80+Q79</f>
        <v>1684</v>
      </c>
      <c r="S78" s="20"/>
    </row>
    <row r="79" spans="1:19" ht="14.25" customHeight="1">
      <c r="A79" s="32"/>
      <c r="B79" s="154"/>
      <c r="C79" s="11" t="s">
        <v>101</v>
      </c>
      <c r="D79" s="11"/>
      <c r="E79" s="25">
        <f>R77</f>
        <v>1684</v>
      </c>
      <c r="F79" s="100">
        <v>19</v>
      </c>
      <c r="G79" s="39">
        <f>IF(G77=0,0,VLOOKUP(G77,Tables!$D$3:$E$152,2,TRUE))</f>
        <v>341</v>
      </c>
      <c r="H79" s="35">
        <f>G79</f>
        <v>341</v>
      </c>
      <c r="I79" s="17">
        <f>ROUNDDOWN(0.188807*(100*I77-210)^1.41,0)</f>
        <v>227</v>
      </c>
      <c r="J79" s="35">
        <f>G80+I79</f>
        <v>568</v>
      </c>
      <c r="K79" s="17">
        <f>ROUNDDOWN(1.84523*(100*K77-75)^1.348,0)</f>
        <v>331</v>
      </c>
      <c r="L79" s="18">
        <f>I80+K79</f>
        <v>899</v>
      </c>
      <c r="M79" s="17">
        <f>ROUNDDOWN(56.0211*(M77-1.5)^1.05,0)</f>
        <v>295</v>
      </c>
      <c r="N79" s="19">
        <f>K80+M79</f>
        <v>1194</v>
      </c>
      <c r="O79" s="14"/>
      <c r="P79" s="14"/>
      <c r="Q79" s="23">
        <f>IF(O77+Q77=0,0,TRUNC(0.11193*((254-(O77*60+Q77))^1.88)))</f>
        <v>490</v>
      </c>
      <c r="R79" s="29">
        <f>M80+Q79</f>
        <v>1684</v>
      </c>
      <c r="S79" s="20"/>
    </row>
    <row r="80" spans="1:19" ht="14.25" customHeight="1">
      <c r="A80" s="33"/>
      <c r="B80" s="80"/>
      <c r="C80" s="8"/>
      <c r="D80" s="8"/>
      <c r="E80" s="8"/>
      <c r="F80" s="10">
        <v>20</v>
      </c>
      <c r="G80" s="15">
        <f>G79</f>
        <v>341</v>
      </c>
      <c r="H80" s="36">
        <f>G79</f>
        <v>341</v>
      </c>
      <c r="I80" s="15">
        <f>G80+I79</f>
        <v>568</v>
      </c>
      <c r="J80" s="35">
        <f>G80+I79</f>
        <v>568</v>
      </c>
      <c r="K80" s="15">
        <f>I80+K79</f>
        <v>899</v>
      </c>
      <c r="L80" s="15">
        <f>I80+K79</f>
        <v>899</v>
      </c>
      <c r="M80" s="15">
        <f>K80+M79</f>
        <v>1194</v>
      </c>
      <c r="N80" s="9">
        <f>K80+M79</f>
        <v>1194</v>
      </c>
      <c r="O80" s="15"/>
      <c r="P80" s="15"/>
      <c r="Q80" s="24">
        <f>M80+Q79</f>
        <v>1684</v>
      </c>
      <c r="R80" s="29">
        <f>M80+Q79</f>
        <v>1684</v>
      </c>
      <c r="S80" s="20"/>
    </row>
    <row r="81" spans="1:18" ht="14.25" customHeight="1">
      <c r="A81" s="31"/>
      <c r="B81" s="133"/>
      <c r="C81" s="180">
        <v>770</v>
      </c>
      <c r="D81" s="155" t="s">
        <v>207</v>
      </c>
      <c r="E81" s="136" t="s">
        <v>486</v>
      </c>
      <c r="F81" s="26">
        <v>45</v>
      </c>
      <c r="G81" s="102">
        <v>16.2</v>
      </c>
      <c r="H81" s="34">
        <f>G83</f>
        <v>314</v>
      </c>
      <c r="I81" s="101">
        <v>4.12</v>
      </c>
      <c r="J81" s="34">
        <f>G84+I83</f>
        <v>650</v>
      </c>
      <c r="K81" s="101">
        <v>1.4</v>
      </c>
      <c r="L81" s="18">
        <f>I84+K83</f>
        <v>1162</v>
      </c>
      <c r="M81" s="101">
        <v>6.44</v>
      </c>
      <c r="N81" s="27">
        <f>K84+M83</f>
        <v>1461</v>
      </c>
      <c r="O81" s="122">
        <v>3</v>
      </c>
      <c r="P81" s="19" t="s">
        <v>25</v>
      </c>
      <c r="Q81" s="172" t="s">
        <v>458</v>
      </c>
      <c r="R81" s="28">
        <f>M84+Q83</f>
        <v>1605</v>
      </c>
    </row>
    <row r="82" spans="1:18" ht="14.25" customHeight="1">
      <c r="A82" s="32">
        <v>18</v>
      </c>
      <c r="B82" s="131"/>
      <c r="E82" s="10"/>
      <c r="F82" s="100">
        <v>46</v>
      </c>
      <c r="G82" s="85"/>
      <c r="H82" s="35">
        <f>G83</f>
        <v>314</v>
      </c>
      <c r="I82" s="85"/>
      <c r="J82" s="35">
        <f>G84+I83</f>
        <v>650</v>
      </c>
      <c r="K82" s="14"/>
      <c r="L82" s="18">
        <f>I84+K83</f>
        <v>1162</v>
      </c>
      <c r="M82" s="14"/>
      <c r="N82" s="19">
        <f>K84+M83</f>
        <v>1461</v>
      </c>
      <c r="O82" s="14"/>
      <c r="P82" s="14"/>
      <c r="Q82" s="14"/>
      <c r="R82" s="29">
        <f>M84+Q83</f>
        <v>1605</v>
      </c>
    </row>
    <row r="83" spans="1:18" ht="14.25" customHeight="1">
      <c r="A83" s="32"/>
      <c r="B83" s="154"/>
      <c r="C83" s="11" t="s">
        <v>100</v>
      </c>
      <c r="D83" s="11"/>
      <c r="E83" s="25">
        <f>R81</f>
        <v>1605</v>
      </c>
      <c r="F83" s="10">
        <v>47</v>
      </c>
      <c r="G83" s="39">
        <f>IF(G81=0,0,VLOOKUP(G81,Tables!$D$3:$E$152,2,TRUE))</f>
        <v>314</v>
      </c>
      <c r="H83" s="35">
        <f>G83</f>
        <v>314</v>
      </c>
      <c r="I83" s="17">
        <f>ROUNDDOWN(0.188807*(100*I81-210)^1.41,0)</f>
        <v>336</v>
      </c>
      <c r="J83" s="35">
        <f>G84+I83</f>
        <v>650</v>
      </c>
      <c r="K83" s="17">
        <f>ROUNDDOWN(1.84523*(100*K81-75)^1.348,0)</f>
        <v>512</v>
      </c>
      <c r="L83" s="18">
        <f>I84+K83</f>
        <v>1162</v>
      </c>
      <c r="M83" s="17">
        <f>ROUNDDOWN(56.0211*(M81-1.5)^1.05,0)</f>
        <v>299</v>
      </c>
      <c r="N83" s="19">
        <f>K84+M83</f>
        <v>1461</v>
      </c>
      <c r="O83" s="14"/>
      <c r="P83" s="14"/>
      <c r="Q83" s="23">
        <f>IF(O81+Q81=0,0,TRUNC(0.11193*((254-(O81*60+Q81))^1.88)))</f>
        <v>144</v>
      </c>
      <c r="R83" s="29">
        <f>M84+Q83</f>
        <v>1605</v>
      </c>
    </row>
    <row r="84" spans="1:18" ht="14.25" customHeight="1">
      <c r="A84" s="33"/>
      <c r="B84" s="80"/>
      <c r="C84" s="8"/>
      <c r="D84" s="8"/>
      <c r="E84" s="8"/>
      <c r="F84" s="26">
        <v>48</v>
      </c>
      <c r="G84" s="15">
        <f>G83</f>
        <v>314</v>
      </c>
      <c r="H84" s="36">
        <f>G83</f>
        <v>314</v>
      </c>
      <c r="I84" s="15">
        <f>G84+I83</f>
        <v>650</v>
      </c>
      <c r="J84" s="35">
        <f>G84+I83</f>
        <v>650</v>
      </c>
      <c r="K84" s="15">
        <f>I84+K83</f>
        <v>1162</v>
      </c>
      <c r="L84" s="15">
        <f>I84+K83</f>
        <v>1162</v>
      </c>
      <c r="M84" s="15">
        <f>K84+M83</f>
        <v>1461</v>
      </c>
      <c r="N84" s="19">
        <f>K84+M83</f>
        <v>1461</v>
      </c>
      <c r="O84" s="15"/>
      <c r="P84" s="15"/>
      <c r="Q84" s="24">
        <f>M84+Q83</f>
        <v>1605</v>
      </c>
      <c r="R84" s="29">
        <f>M84+Q83</f>
        <v>1605</v>
      </c>
    </row>
    <row r="85" spans="1:18" ht="14.25" customHeight="1">
      <c r="A85" s="31"/>
      <c r="B85" s="133"/>
      <c r="C85" s="180">
        <v>776</v>
      </c>
      <c r="D85" s="155" t="s">
        <v>213</v>
      </c>
      <c r="E85" s="136" t="s">
        <v>487</v>
      </c>
      <c r="F85" s="26">
        <v>69</v>
      </c>
      <c r="G85" s="102">
        <v>14.1</v>
      </c>
      <c r="H85" s="34">
        <f>G87</f>
        <v>471</v>
      </c>
      <c r="I85" s="101">
        <v>3.69</v>
      </c>
      <c r="J85" s="34">
        <f>G88+I87</f>
        <v>710</v>
      </c>
      <c r="K85" s="101">
        <v>1.22</v>
      </c>
      <c r="L85" s="18">
        <f>I88+K87</f>
        <v>1041</v>
      </c>
      <c r="M85" s="101">
        <v>3.51</v>
      </c>
      <c r="N85" s="27">
        <f>K88+M87</f>
        <v>1157</v>
      </c>
      <c r="O85" s="122">
        <v>2</v>
      </c>
      <c r="P85" s="19" t="s">
        <v>25</v>
      </c>
      <c r="Q85" s="172" t="s">
        <v>452</v>
      </c>
      <c r="R85" s="28">
        <f>M88+Q87</f>
        <v>1604</v>
      </c>
    </row>
    <row r="86" spans="1:18" ht="14.25" customHeight="1">
      <c r="A86" s="32">
        <v>19</v>
      </c>
      <c r="B86" s="131"/>
      <c r="C86" s="20"/>
      <c r="D86" s="20"/>
      <c r="E86" s="10"/>
      <c r="F86" s="100">
        <v>70</v>
      </c>
      <c r="G86" s="85"/>
      <c r="H86" s="35">
        <f>G87</f>
        <v>471</v>
      </c>
      <c r="I86" s="85"/>
      <c r="J86" s="35">
        <f>G88+I87</f>
        <v>710</v>
      </c>
      <c r="K86" s="14"/>
      <c r="L86" s="18">
        <f>I88+K87</f>
        <v>1041</v>
      </c>
      <c r="M86" s="14"/>
      <c r="N86" s="19">
        <f>K88+M87</f>
        <v>1157</v>
      </c>
      <c r="O86" s="14"/>
      <c r="P86" s="14"/>
      <c r="Q86" s="14"/>
      <c r="R86" s="29">
        <f>M88+Q87</f>
        <v>1604</v>
      </c>
    </row>
    <row r="87" spans="1:18" ht="14.25" customHeight="1">
      <c r="A87" s="32"/>
      <c r="B87" s="154"/>
      <c r="C87" s="95" t="s">
        <v>225</v>
      </c>
      <c r="D87" s="11"/>
      <c r="E87" s="25">
        <f>R85</f>
        <v>1604</v>
      </c>
      <c r="F87" s="10">
        <v>71</v>
      </c>
      <c r="G87" s="39">
        <f>IF(G85=0,0,VLOOKUP(G85,Tables!$D$3:$E$152,2,TRUE))</f>
        <v>471</v>
      </c>
      <c r="H87" s="35">
        <f>G87</f>
        <v>471</v>
      </c>
      <c r="I87" s="17">
        <f>ROUNDDOWN(0.188807*(100*I85-210)^1.41,0)</f>
        <v>239</v>
      </c>
      <c r="J87" s="35">
        <f>G88+I87</f>
        <v>710</v>
      </c>
      <c r="K87" s="17">
        <f>ROUNDDOWN(1.84523*(100*K85-75)^1.348,0)</f>
        <v>331</v>
      </c>
      <c r="L87" s="18">
        <f>I88+K87</f>
        <v>1041</v>
      </c>
      <c r="M87" s="17">
        <f>ROUNDDOWN(56.0211*(M85-1.5)^1.05,0)</f>
        <v>116</v>
      </c>
      <c r="N87" s="19">
        <f>K88+M87</f>
        <v>1157</v>
      </c>
      <c r="O87" s="14"/>
      <c r="P87" s="14"/>
      <c r="Q87" s="23">
        <f>IF(O85+Q85=0,0,TRUNC(0.11193*((254-(O85*60+Q85))^1.88)))</f>
        <v>447</v>
      </c>
      <c r="R87" s="29">
        <f>M88+Q87</f>
        <v>1604</v>
      </c>
    </row>
    <row r="88" spans="1:18" ht="14.25" customHeight="1">
      <c r="A88" s="33"/>
      <c r="B88" s="80"/>
      <c r="C88" s="8"/>
      <c r="D88" s="8"/>
      <c r="E88" s="8"/>
      <c r="F88" s="26">
        <v>72</v>
      </c>
      <c r="G88" s="15">
        <f>G87</f>
        <v>471</v>
      </c>
      <c r="H88" s="36">
        <f>G87</f>
        <v>471</v>
      </c>
      <c r="I88" s="15">
        <f>G88+I87</f>
        <v>710</v>
      </c>
      <c r="J88" s="35">
        <f>G88+I87</f>
        <v>710</v>
      </c>
      <c r="K88" s="15">
        <f>I88+K87</f>
        <v>1041</v>
      </c>
      <c r="L88" s="15">
        <f>I88+K87</f>
        <v>1041</v>
      </c>
      <c r="M88" s="15">
        <f>K88+M87</f>
        <v>1157</v>
      </c>
      <c r="N88" s="9">
        <f>K88+M87</f>
        <v>1157</v>
      </c>
      <c r="O88" s="15"/>
      <c r="P88" s="15"/>
      <c r="Q88" s="24">
        <f>M88+Q87</f>
        <v>1604</v>
      </c>
      <c r="R88" s="29">
        <f>M88+Q87</f>
        <v>1604</v>
      </c>
    </row>
    <row r="89" spans="1:18" ht="14.25" customHeight="1">
      <c r="A89" s="31"/>
      <c r="B89" s="133"/>
      <c r="C89" s="180">
        <v>767</v>
      </c>
      <c r="D89" s="155" t="s">
        <v>204</v>
      </c>
      <c r="E89" s="136" t="s">
        <v>488</v>
      </c>
      <c r="F89" s="26">
        <v>33</v>
      </c>
      <c r="G89" s="102">
        <v>15.7</v>
      </c>
      <c r="H89" s="34">
        <f>G91</f>
        <v>348</v>
      </c>
      <c r="I89" s="101">
        <v>3.61</v>
      </c>
      <c r="J89" s="34">
        <f>G92+I91</f>
        <v>571</v>
      </c>
      <c r="K89" s="101">
        <v>1.19</v>
      </c>
      <c r="L89" s="18">
        <f>I92+K91</f>
        <v>873</v>
      </c>
      <c r="M89" s="101">
        <v>5.62</v>
      </c>
      <c r="N89" s="27">
        <f>K92+M91</f>
        <v>1120</v>
      </c>
      <c r="O89" s="122">
        <v>2</v>
      </c>
      <c r="P89" s="19" t="s">
        <v>25</v>
      </c>
      <c r="Q89" s="172" t="s">
        <v>454</v>
      </c>
      <c r="R89" s="28">
        <f>M92+Q91</f>
        <v>1523</v>
      </c>
    </row>
    <row r="90" spans="1:18" ht="14.25" customHeight="1">
      <c r="A90" s="32">
        <v>20</v>
      </c>
      <c r="B90" s="131"/>
      <c r="C90" s="20"/>
      <c r="D90" s="20"/>
      <c r="E90" s="10"/>
      <c r="F90" s="100">
        <v>34</v>
      </c>
      <c r="G90" s="85"/>
      <c r="H90" s="35">
        <f>G91</f>
        <v>348</v>
      </c>
      <c r="I90" s="85"/>
      <c r="J90" s="35">
        <f>G92+I91</f>
        <v>571</v>
      </c>
      <c r="K90" s="14"/>
      <c r="L90" s="18">
        <f>I92+K91</f>
        <v>873</v>
      </c>
      <c r="M90" s="14"/>
      <c r="N90" s="19">
        <f>K92+M91</f>
        <v>1120</v>
      </c>
      <c r="O90" s="14"/>
      <c r="P90" s="14"/>
      <c r="Q90" s="14"/>
      <c r="R90" s="29">
        <f>M92+Q91</f>
        <v>1523</v>
      </c>
    </row>
    <row r="91" spans="1:18" ht="14.25" customHeight="1">
      <c r="A91" s="32"/>
      <c r="B91" s="154"/>
      <c r="C91" s="11" t="s">
        <v>141</v>
      </c>
      <c r="D91" s="11"/>
      <c r="E91" s="25">
        <f>R89</f>
        <v>1523</v>
      </c>
      <c r="F91" s="10">
        <v>35</v>
      </c>
      <c r="G91" s="39">
        <f>IF(G89=0,0,VLOOKUP(G89,Tables!$D$3:$E$152,2,TRUE))</f>
        <v>348</v>
      </c>
      <c r="H91" s="35">
        <f>G91</f>
        <v>348</v>
      </c>
      <c r="I91" s="17">
        <f>ROUNDDOWN(0.188807*(100*I89-210)^1.41,0)</f>
        <v>223</v>
      </c>
      <c r="J91" s="35">
        <f>G92+I91</f>
        <v>571</v>
      </c>
      <c r="K91" s="17">
        <f>ROUNDDOWN(1.84523*(100*K89-75)^1.348,0)</f>
        <v>302</v>
      </c>
      <c r="L91" s="18">
        <f>I92+K91</f>
        <v>873</v>
      </c>
      <c r="M91" s="17">
        <f>ROUNDDOWN(56.0211*(M89-1.5)^1.05,0)</f>
        <v>247</v>
      </c>
      <c r="N91" s="19">
        <f>K92+M91</f>
        <v>1120</v>
      </c>
      <c r="O91" s="14"/>
      <c r="P91" s="14"/>
      <c r="Q91" s="23">
        <f>IF(O89+Q89=0,0,TRUNC(0.11193*((254-(O89*60+Q89))^1.88)))</f>
        <v>403</v>
      </c>
      <c r="R91" s="29">
        <f>M92+Q91</f>
        <v>1523</v>
      </c>
    </row>
    <row r="92" spans="1:18" ht="14.25" customHeight="1">
      <c r="A92" s="33"/>
      <c r="B92" s="80"/>
      <c r="C92" s="8"/>
      <c r="D92" s="8"/>
      <c r="E92" s="8"/>
      <c r="F92" s="26">
        <v>36</v>
      </c>
      <c r="G92" s="15">
        <f>G91</f>
        <v>348</v>
      </c>
      <c r="H92" s="36">
        <f>G91</f>
        <v>348</v>
      </c>
      <c r="I92" s="15">
        <f>G92+I91</f>
        <v>571</v>
      </c>
      <c r="J92" s="35">
        <f>G92+I91</f>
        <v>571</v>
      </c>
      <c r="K92" s="15">
        <f>I92+K91</f>
        <v>873</v>
      </c>
      <c r="L92" s="15">
        <f>I92+K91</f>
        <v>873</v>
      </c>
      <c r="M92" s="15">
        <f>K92+M91</f>
        <v>1120</v>
      </c>
      <c r="N92" s="9">
        <f>K92+M91</f>
        <v>1120</v>
      </c>
      <c r="O92" s="15"/>
      <c r="P92" s="15"/>
      <c r="Q92" s="24">
        <f>M92+Q91</f>
        <v>1523</v>
      </c>
      <c r="R92" s="29">
        <f>M92+Q91</f>
        <v>1523</v>
      </c>
    </row>
    <row r="93" spans="1:18" ht="13.5" customHeight="1">
      <c r="A93" s="31"/>
      <c r="B93" s="133"/>
      <c r="C93" s="180">
        <v>772</v>
      </c>
      <c r="D93" s="155" t="s">
        <v>209</v>
      </c>
      <c r="E93" s="136" t="s">
        <v>489</v>
      </c>
      <c r="F93" s="10">
        <v>53</v>
      </c>
      <c r="G93" s="102">
        <v>16.5</v>
      </c>
      <c r="H93" s="34">
        <f>G95</f>
        <v>294</v>
      </c>
      <c r="I93" s="101">
        <v>4.24</v>
      </c>
      <c r="J93" s="34">
        <f>G96+I95</f>
        <v>658</v>
      </c>
      <c r="K93" s="101">
        <v>1.25</v>
      </c>
      <c r="L93" s="18">
        <f>I96+K95</f>
        <v>1017</v>
      </c>
      <c r="M93" s="101">
        <v>5.87</v>
      </c>
      <c r="N93" s="27">
        <f>K96+M95</f>
        <v>1280</v>
      </c>
      <c r="O93" s="122">
        <v>3</v>
      </c>
      <c r="P93" s="19" t="s">
        <v>25</v>
      </c>
      <c r="Q93" s="172" t="s">
        <v>455</v>
      </c>
      <c r="R93" s="28">
        <f>M96+Q95</f>
        <v>1501</v>
      </c>
    </row>
    <row r="94" spans="1:18" ht="14.25" customHeight="1">
      <c r="A94" s="32">
        <v>21</v>
      </c>
      <c r="B94" s="131"/>
      <c r="E94" s="10"/>
      <c r="F94" s="26">
        <v>54</v>
      </c>
      <c r="G94" s="85"/>
      <c r="H94" s="35">
        <f>G95</f>
        <v>294</v>
      </c>
      <c r="I94" s="85"/>
      <c r="J94" s="35">
        <f>G96+I95</f>
        <v>658</v>
      </c>
      <c r="K94" s="14"/>
      <c r="L94" s="18">
        <f>I96+K95</f>
        <v>1017</v>
      </c>
      <c r="M94" s="14"/>
      <c r="N94" s="19">
        <f>K96+M95</f>
        <v>1280</v>
      </c>
      <c r="O94" s="14"/>
      <c r="P94" s="14"/>
      <c r="Q94" s="14"/>
      <c r="R94" s="29">
        <f>M96+Q95</f>
        <v>1501</v>
      </c>
    </row>
    <row r="95" spans="1:18" ht="14.25" customHeight="1">
      <c r="A95" s="32"/>
      <c r="B95" s="154"/>
      <c r="C95" s="11" t="s">
        <v>100</v>
      </c>
      <c r="D95" s="11"/>
      <c r="E95" s="25">
        <f>R93</f>
        <v>1501</v>
      </c>
      <c r="F95" s="100">
        <v>55</v>
      </c>
      <c r="G95" s="39">
        <f>IF(G93=0,0,VLOOKUP(G93,Tables!$D$3:$E$152,2,TRUE))</f>
        <v>294</v>
      </c>
      <c r="H95" s="35">
        <f>G95</f>
        <v>294</v>
      </c>
      <c r="I95" s="17">
        <f>ROUNDDOWN(0.188807*(100*I93-210)^1.41,0)</f>
        <v>364</v>
      </c>
      <c r="J95" s="35">
        <f>G96+I95</f>
        <v>658</v>
      </c>
      <c r="K95" s="17">
        <f>ROUNDDOWN(1.84523*(100*K93-75)^1.348,0)</f>
        <v>359</v>
      </c>
      <c r="L95" s="18">
        <f>I96+K95</f>
        <v>1017</v>
      </c>
      <c r="M95" s="17">
        <f>ROUNDDOWN(56.0211*(M93-1.5)^1.05,0)</f>
        <v>263</v>
      </c>
      <c r="N95" s="19">
        <f>K96+M95</f>
        <v>1280</v>
      </c>
      <c r="O95" s="14"/>
      <c r="P95" s="14"/>
      <c r="Q95" s="23">
        <f>IF(O93+Q93=0,0,TRUNC(0.11193*((254-(O93*60+Q93))^1.88)))</f>
        <v>221</v>
      </c>
      <c r="R95" s="29">
        <f>M96+Q95</f>
        <v>1501</v>
      </c>
    </row>
    <row r="96" spans="1:18" ht="14.25" customHeight="1">
      <c r="A96" s="33"/>
      <c r="B96" s="80"/>
      <c r="C96" s="8"/>
      <c r="D96" s="8"/>
      <c r="E96" s="8"/>
      <c r="F96" s="10">
        <v>56</v>
      </c>
      <c r="G96" s="15">
        <f>G95</f>
        <v>294</v>
      </c>
      <c r="H96" s="36">
        <f>G95</f>
        <v>294</v>
      </c>
      <c r="I96" s="15">
        <f>G96+I95</f>
        <v>658</v>
      </c>
      <c r="J96" s="35">
        <f>G96+I95</f>
        <v>658</v>
      </c>
      <c r="K96" s="15">
        <f>I96+K95</f>
        <v>1017</v>
      </c>
      <c r="L96" s="15">
        <f>I96+K95</f>
        <v>1017</v>
      </c>
      <c r="M96" s="15">
        <f>K96+M95</f>
        <v>1280</v>
      </c>
      <c r="N96" s="9">
        <f>K96+M95</f>
        <v>1280</v>
      </c>
      <c r="O96" s="15"/>
      <c r="P96" s="15"/>
      <c r="Q96" s="24">
        <f>M96+Q95</f>
        <v>1501</v>
      </c>
      <c r="R96" s="29">
        <f>M96+Q95</f>
        <v>1501</v>
      </c>
    </row>
    <row r="97" spans="1:18" ht="13.5" customHeight="1">
      <c r="A97" s="31"/>
      <c r="B97" s="133"/>
      <c r="C97" s="180">
        <v>759</v>
      </c>
      <c r="D97" s="155" t="s">
        <v>198</v>
      </c>
      <c r="E97" s="136" t="s">
        <v>490</v>
      </c>
      <c r="F97" s="100">
        <v>1</v>
      </c>
      <c r="G97" s="102">
        <v>15.2</v>
      </c>
      <c r="H97" s="34">
        <f>G99</f>
        <v>384</v>
      </c>
      <c r="I97" s="101">
        <v>3.36</v>
      </c>
      <c r="J97" s="34">
        <f>G100+I99</f>
        <v>556</v>
      </c>
      <c r="K97" s="101">
        <v>1.13</v>
      </c>
      <c r="L97" s="18">
        <f>I100+K99</f>
        <v>804</v>
      </c>
      <c r="M97" s="101">
        <v>4.83</v>
      </c>
      <c r="N97" s="27">
        <f>K100+M99</f>
        <v>1002</v>
      </c>
      <c r="O97" s="122">
        <v>3</v>
      </c>
      <c r="P97" s="19" t="s">
        <v>25</v>
      </c>
      <c r="Q97" s="172" t="s">
        <v>459</v>
      </c>
      <c r="R97" s="28">
        <f>M100+Q99</f>
        <v>1103</v>
      </c>
    </row>
    <row r="98" spans="1:18" ht="14.25" customHeight="1">
      <c r="A98" s="32">
        <v>22</v>
      </c>
      <c r="B98" s="131"/>
      <c r="E98" s="10"/>
      <c r="F98" s="10">
        <v>2</v>
      </c>
      <c r="G98" s="85"/>
      <c r="H98" s="35">
        <f>G99</f>
        <v>384</v>
      </c>
      <c r="I98" s="85"/>
      <c r="J98" s="35">
        <f>G100+I99</f>
        <v>556</v>
      </c>
      <c r="K98" s="14"/>
      <c r="L98" s="18">
        <f>I100+K99</f>
        <v>804</v>
      </c>
      <c r="M98" s="14"/>
      <c r="N98" s="19">
        <f>K100+M99</f>
        <v>1002</v>
      </c>
      <c r="O98" s="14"/>
      <c r="P98" s="14"/>
      <c r="Q98" s="14"/>
      <c r="R98" s="29">
        <f>M100+Q99</f>
        <v>1103</v>
      </c>
    </row>
    <row r="99" spans="1:18" ht="14.25" customHeight="1">
      <c r="A99" s="32"/>
      <c r="B99" s="154"/>
      <c r="C99" s="11" t="s">
        <v>103</v>
      </c>
      <c r="D99" s="95"/>
      <c r="E99" s="108">
        <f>R97</f>
        <v>1103</v>
      </c>
      <c r="F99" s="26">
        <v>3</v>
      </c>
      <c r="G99" s="39">
        <f>IF(G97=0,0,VLOOKUP(G97,Tables!$D$3:$E$152,2,TRUE))</f>
        <v>384</v>
      </c>
      <c r="H99" s="35">
        <f>G99</f>
        <v>384</v>
      </c>
      <c r="I99" s="17">
        <f>ROUNDDOWN(0.188807*(100*I97-210)^1.41,0)</f>
        <v>172</v>
      </c>
      <c r="J99" s="35">
        <f>G100+I99</f>
        <v>556</v>
      </c>
      <c r="K99" s="17">
        <f>ROUNDDOWN(1.84523*(100*K97-75)^1.348,0)</f>
        <v>248</v>
      </c>
      <c r="L99" s="18">
        <f>I100+K99</f>
        <v>804</v>
      </c>
      <c r="M99" s="17">
        <f>ROUNDDOWN(56.0211*(M97-1.5)^1.05,0)</f>
        <v>198</v>
      </c>
      <c r="N99" s="19">
        <f>K100+M99</f>
        <v>1002</v>
      </c>
      <c r="O99" s="18"/>
      <c r="P99" s="18"/>
      <c r="Q99" s="23">
        <f>IF(O97+Q97=0,0,TRUNC(0.11193*((254-(O97*60+Q97))^1.88)))</f>
        <v>101</v>
      </c>
      <c r="R99" s="29">
        <f>M100+Q99</f>
        <v>1103</v>
      </c>
    </row>
    <row r="100" spans="1:18" ht="14.25" customHeight="1">
      <c r="A100" s="33"/>
      <c r="B100" s="80"/>
      <c r="C100" s="8"/>
      <c r="D100" s="8"/>
      <c r="E100" s="8"/>
      <c r="F100" s="100">
        <v>4</v>
      </c>
      <c r="G100" s="15">
        <f>G99</f>
        <v>384</v>
      </c>
      <c r="H100" s="36">
        <f>G99</f>
        <v>384</v>
      </c>
      <c r="I100" s="15">
        <f>G100+I99</f>
        <v>556</v>
      </c>
      <c r="J100" s="35">
        <f>G100+I99</f>
        <v>556</v>
      </c>
      <c r="K100" s="15">
        <f>I100+K99</f>
        <v>804</v>
      </c>
      <c r="L100" s="15">
        <f>I100+K99</f>
        <v>804</v>
      </c>
      <c r="M100" s="15">
        <f>K100+M99</f>
        <v>1002</v>
      </c>
      <c r="N100" s="9">
        <f>K100+M99</f>
        <v>1002</v>
      </c>
      <c r="O100" s="15"/>
      <c r="P100" s="15"/>
      <c r="Q100" s="24">
        <f>M100+Q99</f>
        <v>1103</v>
      </c>
      <c r="R100" s="29">
        <f>M100+Q99</f>
        <v>1103</v>
      </c>
    </row>
    <row r="101" spans="1:18" ht="13.5" customHeight="1">
      <c r="A101" s="31"/>
      <c r="B101" s="133"/>
      <c r="C101" s="180">
        <v>774</v>
      </c>
      <c r="D101" s="114" t="s">
        <v>211</v>
      </c>
      <c r="E101" s="136" t="s">
        <v>491</v>
      </c>
      <c r="F101" s="100">
        <v>61</v>
      </c>
      <c r="G101" s="102">
        <v>16.9</v>
      </c>
      <c r="H101" s="34">
        <f>G103</f>
        <v>269</v>
      </c>
      <c r="I101" s="101">
        <v>2.96</v>
      </c>
      <c r="J101" s="34">
        <f>G104+I103</f>
        <v>369</v>
      </c>
      <c r="K101" s="101">
        <v>1.1</v>
      </c>
      <c r="L101" s="18">
        <f>I104+K103</f>
        <v>591</v>
      </c>
      <c r="M101" s="101">
        <v>4.66</v>
      </c>
      <c r="N101" s="27">
        <f>K104+M103</f>
        <v>778</v>
      </c>
      <c r="O101" s="122">
        <v>3</v>
      </c>
      <c r="P101" s="19" t="s">
        <v>25</v>
      </c>
      <c r="Q101" s="172" t="s">
        <v>456</v>
      </c>
      <c r="R101" s="28">
        <f>M104+Q103</f>
        <v>985</v>
      </c>
    </row>
    <row r="102" spans="1:18" ht="14.25" customHeight="1">
      <c r="A102" s="32">
        <v>23</v>
      </c>
      <c r="B102" s="131"/>
      <c r="C102" s="20"/>
      <c r="D102" s="20"/>
      <c r="E102" s="10"/>
      <c r="F102" s="10">
        <v>62</v>
      </c>
      <c r="G102" s="85"/>
      <c r="H102" s="35">
        <f>G103</f>
        <v>269</v>
      </c>
      <c r="I102" s="85"/>
      <c r="J102" s="35">
        <f>G104+I103</f>
        <v>369</v>
      </c>
      <c r="K102" s="14"/>
      <c r="L102" s="18">
        <f>I104+K103</f>
        <v>591</v>
      </c>
      <c r="M102" s="14"/>
      <c r="N102" s="19">
        <f>K104+M103</f>
        <v>778</v>
      </c>
      <c r="O102" s="14"/>
      <c r="P102" s="14"/>
      <c r="Q102" s="14"/>
      <c r="R102" s="29">
        <f>M104+Q103</f>
        <v>985</v>
      </c>
    </row>
    <row r="103" spans="1:18" ht="14.25" customHeight="1">
      <c r="A103" s="32"/>
      <c r="B103" s="154"/>
      <c r="C103" s="95" t="s">
        <v>225</v>
      </c>
      <c r="D103" s="11"/>
      <c r="E103" s="25">
        <f>R101</f>
        <v>985</v>
      </c>
      <c r="F103" s="26">
        <v>63</v>
      </c>
      <c r="G103" s="39">
        <f>IF(G101=0,0,VLOOKUP(G101,Tables!$D$3:$E$152,2,TRUE))</f>
        <v>269</v>
      </c>
      <c r="H103" s="35">
        <f>G103</f>
        <v>269</v>
      </c>
      <c r="I103" s="17">
        <f>ROUNDDOWN(0.188807*(100*I101-210)^1.41,0)</f>
        <v>100</v>
      </c>
      <c r="J103" s="35">
        <f>G104+I103</f>
        <v>369</v>
      </c>
      <c r="K103" s="17">
        <f>ROUNDDOWN(1.84523*(100*K101-75)^1.348,0)</f>
        <v>222</v>
      </c>
      <c r="L103" s="18">
        <f>I104+K103</f>
        <v>591</v>
      </c>
      <c r="M103" s="17">
        <f>ROUNDDOWN(56.0211*(M101-1.5)^1.05,0)</f>
        <v>187</v>
      </c>
      <c r="N103" s="19">
        <f>K104+M103</f>
        <v>778</v>
      </c>
      <c r="O103" s="14"/>
      <c r="P103" s="14"/>
      <c r="Q103" s="23">
        <f>IF(O101+Q101=0,0,TRUNC(0.11193*((254-(O101*60+Q101))^1.88)))</f>
        <v>207</v>
      </c>
      <c r="R103" s="29">
        <f>M104+Q103</f>
        <v>985</v>
      </c>
    </row>
    <row r="104" spans="1:18" ht="14.25" customHeight="1">
      <c r="A104" s="33"/>
      <c r="B104" s="80"/>
      <c r="C104" s="8"/>
      <c r="D104" s="8"/>
      <c r="E104" s="8"/>
      <c r="F104" s="100">
        <v>64</v>
      </c>
      <c r="G104" s="15">
        <f>G103</f>
        <v>269</v>
      </c>
      <c r="H104" s="36">
        <f>G103</f>
        <v>269</v>
      </c>
      <c r="I104" s="15">
        <f>G104+I103</f>
        <v>369</v>
      </c>
      <c r="J104" s="35">
        <f>G104+I103</f>
        <v>369</v>
      </c>
      <c r="K104" s="15">
        <f>I104+K103</f>
        <v>591</v>
      </c>
      <c r="L104" s="15">
        <f>I104+K103</f>
        <v>591</v>
      </c>
      <c r="M104" s="15">
        <f>K104+M103</f>
        <v>778</v>
      </c>
      <c r="N104" s="9">
        <f>K104+M103</f>
        <v>778</v>
      </c>
      <c r="O104" s="15"/>
      <c r="P104" s="15"/>
      <c r="Q104" s="24">
        <f>M104+Q103</f>
        <v>985</v>
      </c>
      <c r="R104" s="29">
        <f>M104+Q103</f>
        <v>985</v>
      </c>
    </row>
    <row r="105" spans="1:18" ht="13.5" customHeight="1">
      <c r="A105" s="31"/>
      <c r="B105" s="133"/>
      <c r="C105" s="180"/>
      <c r="D105" s="155"/>
      <c r="E105" s="136"/>
      <c r="F105" s="100"/>
      <c r="G105" s="102"/>
      <c r="H105" s="34"/>
      <c r="I105" s="101"/>
      <c r="J105" s="34"/>
      <c r="K105" s="101"/>
      <c r="L105" s="18"/>
      <c r="M105" s="101"/>
      <c r="N105" s="27"/>
      <c r="O105" s="122"/>
      <c r="P105" s="19"/>
      <c r="Q105" s="172"/>
      <c r="R105" s="28"/>
    </row>
    <row r="106" spans="1:18" ht="14.25" customHeight="1">
      <c r="A106" s="32"/>
      <c r="B106" s="131"/>
      <c r="E106" s="10"/>
      <c r="F106" s="10"/>
      <c r="G106" s="85"/>
      <c r="H106" s="35"/>
      <c r="I106" s="85"/>
      <c r="J106" s="35"/>
      <c r="K106" s="14"/>
      <c r="L106" s="18"/>
      <c r="M106" s="14"/>
      <c r="N106" s="19"/>
      <c r="O106" s="14"/>
      <c r="P106" s="14"/>
      <c r="Q106" s="14"/>
      <c r="R106" s="29"/>
    </row>
    <row r="107" spans="1:18" ht="14.25" customHeight="1">
      <c r="A107" s="32"/>
      <c r="B107" s="154"/>
      <c r="C107" s="11"/>
      <c r="D107" s="11"/>
      <c r="E107" s="25"/>
      <c r="F107" s="26"/>
      <c r="G107" s="39"/>
      <c r="H107" s="35"/>
      <c r="I107" s="17"/>
      <c r="J107" s="35"/>
      <c r="K107" s="17"/>
      <c r="L107" s="18"/>
      <c r="M107" s="17"/>
      <c r="N107" s="19"/>
      <c r="O107" s="14"/>
      <c r="P107" s="14"/>
      <c r="Q107" s="23"/>
      <c r="R107" s="29"/>
    </row>
    <row r="108" spans="1:19" ht="14.25" customHeight="1">
      <c r="A108" s="97"/>
      <c r="B108" s="81"/>
      <c r="C108" s="20"/>
      <c r="D108" s="20"/>
      <c r="E108" s="20"/>
      <c r="F108" s="100"/>
      <c r="G108" s="18"/>
      <c r="H108" s="35"/>
      <c r="I108" s="18"/>
      <c r="J108" s="35"/>
      <c r="K108" s="18"/>
      <c r="L108" s="18"/>
      <c r="M108" s="18"/>
      <c r="N108" s="19"/>
      <c r="O108" s="18"/>
      <c r="P108" s="18"/>
      <c r="Q108" s="110"/>
      <c r="R108" s="29"/>
      <c r="S108" s="20"/>
    </row>
    <row r="109" spans="1:19" ht="13.5" customHeight="1">
      <c r="A109" s="97"/>
      <c r="B109" s="133"/>
      <c r="C109" s="180"/>
      <c r="D109" s="155"/>
      <c r="E109" s="136"/>
      <c r="F109" s="105"/>
      <c r="G109" s="102"/>
      <c r="H109" s="35"/>
      <c r="I109" s="101"/>
      <c r="J109" s="35"/>
      <c r="K109" s="101"/>
      <c r="L109" s="18"/>
      <c r="M109" s="101"/>
      <c r="N109" s="19"/>
      <c r="O109" s="122"/>
      <c r="P109" s="19"/>
      <c r="Q109" s="172"/>
      <c r="R109" s="29"/>
      <c r="S109" s="20"/>
    </row>
    <row r="110" spans="1:19" ht="14.25" customHeight="1">
      <c r="A110" s="97"/>
      <c r="B110" s="133"/>
      <c r="C110" s="20"/>
      <c r="D110" s="20"/>
      <c r="E110" s="105"/>
      <c r="F110" s="100"/>
      <c r="G110" s="106"/>
      <c r="H110" s="35"/>
      <c r="I110" s="106"/>
      <c r="J110" s="35"/>
      <c r="K110" s="18"/>
      <c r="L110" s="18"/>
      <c r="M110" s="18"/>
      <c r="N110" s="19"/>
      <c r="O110" s="18"/>
      <c r="P110" s="18"/>
      <c r="Q110" s="18"/>
      <c r="R110" s="29"/>
      <c r="S110" s="20"/>
    </row>
    <row r="111" spans="1:19" ht="14.25" customHeight="1">
      <c r="A111" s="97"/>
      <c r="B111" s="169"/>
      <c r="C111" s="95"/>
      <c r="D111" s="95"/>
      <c r="E111" s="108"/>
      <c r="F111" s="100"/>
      <c r="G111" s="39"/>
      <c r="H111" s="35"/>
      <c r="I111" s="17"/>
      <c r="J111" s="35"/>
      <c r="K111" s="17"/>
      <c r="L111" s="18"/>
      <c r="M111" s="17"/>
      <c r="N111" s="19"/>
      <c r="O111" s="18"/>
      <c r="P111" s="18"/>
      <c r="Q111" s="23"/>
      <c r="R111" s="29"/>
      <c r="S111" s="20"/>
    </row>
    <row r="112" spans="1:19" ht="14.25" customHeight="1">
      <c r="A112" s="97"/>
      <c r="B112" s="81"/>
      <c r="C112" s="20"/>
      <c r="D112" s="20"/>
      <c r="E112" s="20"/>
      <c r="F112" s="105"/>
      <c r="G112" s="18"/>
      <c r="H112" s="35"/>
      <c r="I112" s="18"/>
      <c r="J112" s="35"/>
      <c r="K112" s="18"/>
      <c r="L112" s="18"/>
      <c r="M112" s="18"/>
      <c r="N112" s="19"/>
      <c r="O112" s="18"/>
      <c r="P112" s="18"/>
      <c r="Q112" s="110"/>
      <c r="R112" s="29"/>
      <c r="S112" s="20"/>
    </row>
    <row r="113" spans="1:19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</sheetData>
  <sheetProtection/>
  <printOptions/>
  <pageMargins left="0.2755905511811024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9"/>
  <sheetViews>
    <sheetView zoomScale="140" zoomScaleNormal="140" workbookViewId="0" topLeftCell="A1">
      <selection activeCell="B32" sqref="B32"/>
    </sheetView>
  </sheetViews>
  <sheetFormatPr defaultColWidth="9.140625" defaultRowHeight="12.75"/>
  <cols>
    <col min="1" max="2" width="7.7109375" style="0" customWidth="1"/>
    <col min="3" max="3" width="4.7109375" style="0" customWidth="1"/>
    <col min="4" max="4" width="21.57421875" style="0" customWidth="1"/>
    <col min="5" max="5" width="12.00390625" style="0" customWidth="1"/>
    <col min="6" max="6" width="0.85546875" style="0" customWidth="1"/>
    <col min="7" max="7" width="7.7109375" style="0" customWidth="1"/>
    <col min="8" max="8" width="0.85546875" style="0" customWidth="1"/>
    <col min="9" max="9" width="7.7109375" style="0" customWidth="1"/>
    <col min="10" max="10" width="0.85546875" style="0" customWidth="1"/>
    <col min="11" max="11" width="7.7109375" style="0" customWidth="1"/>
    <col min="12" max="12" width="0.85546875" style="0" customWidth="1"/>
    <col min="13" max="13" width="7.7109375" style="0" customWidth="1"/>
    <col min="14" max="14" width="0.85546875" style="0" customWidth="1"/>
    <col min="15" max="15" width="2.57421875" style="0" customWidth="1"/>
    <col min="16" max="16" width="0.71875" style="0" customWidth="1"/>
    <col min="17" max="17" width="5.421875" style="0" customWidth="1"/>
    <col min="18" max="18" width="0.85546875" style="0" customWidth="1"/>
    <col min="19" max="19" width="9.7109375" style="0" customWidth="1"/>
    <col min="20" max="20" width="0.85546875" style="0" customWidth="1"/>
    <col min="21" max="21" width="9.7109375" style="0" customWidth="1"/>
    <col min="22" max="22" width="0.85546875" style="0" customWidth="1"/>
    <col min="23" max="23" width="9.7109375" style="0" customWidth="1"/>
    <col min="24" max="24" width="0.85546875" style="0" customWidth="1"/>
    <col min="25" max="25" width="9.7109375" style="0" customWidth="1"/>
    <col min="26" max="26" width="0.85546875" style="0" customWidth="1"/>
    <col min="28" max="28" width="0.85546875" style="0" customWidth="1"/>
  </cols>
  <sheetData>
    <row r="1" ht="12.75">
      <c r="H1" s="7"/>
    </row>
    <row r="2" spans="1:2" ht="15.75">
      <c r="A2" s="1" t="s">
        <v>30</v>
      </c>
      <c r="B2" s="1"/>
    </row>
    <row r="3" spans="1:2" ht="15.75">
      <c r="A3" s="1" t="s">
        <v>31</v>
      </c>
      <c r="B3" s="1"/>
    </row>
    <row r="4" spans="1:2" ht="15.75">
      <c r="A4" s="1" t="s">
        <v>120</v>
      </c>
      <c r="B4" s="1"/>
    </row>
    <row r="5" spans="1:2" ht="15.75">
      <c r="A5" s="1"/>
      <c r="B5" s="1"/>
    </row>
    <row r="6" spans="5:9" ht="13.5" customHeight="1">
      <c r="E6" s="148" t="s">
        <v>72</v>
      </c>
      <c r="G6" s="147">
        <v>2671</v>
      </c>
      <c r="I6" s="149" t="s">
        <v>74</v>
      </c>
    </row>
    <row r="7" spans="1:9" ht="15.75">
      <c r="A7" s="6" t="s">
        <v>7</v>
      </c>
      <c r="B7" s="6"/>
      <c r="E7" s="151" t="s">
        <v>0</v>
      </c>
      <c r="G7" s="151">
        <v>2671</v>
      </c>
      <c r="H7" s="41"/>
      <c r="I7" s="150" t="s">
        <v>74</v>
      </c>
    </row>
    <row r="8" spans="1:2" ht="12.75">
      <c r="A8" s="41" t="s">
        <v>29</v>
      </c>
      <c r="B8" s="41"/>
    </row>
    <row r="9" spans="7:23" ht="12.75">
      <c r="G9" s="13" t="s">
        <v>16</v>
      </c>
      <c r="H9" s="13"/>
      <c r="I9" s="13" t="s">
        <v>17</v>
      </c>
      <c r="J9" s="13"/>
      <c r="K9" s="13" t="s">
        <v>18</v>
      </c>
      <c r="L9" s="13"/>
      <c r="M9" s="13" t="s">
        <v>14</v>
      </c>
      <c r="N9" s="13"/>
      <c r="O9" s="13"/>
      <c r="P9" s="13"/>
      <c r="Q9" s="13" t="s">
        <v>15</v>
      </c>
      <c r="R9" s="13"/>
      <c r="S9" s="13"/>
      <c r="T9" s="13"/>
      <c r="V9" s="13"/>
      <c r="W9" s="13"/>
    </row>
    <row r="10" spans="1:23" ht="14.25" customHeight="1">
      <c r="A10" s="13" t="s">
        <v>1</v>
      </c>
      <c r="C10" s="62" t="s">
        <v>21</v>
      </c>
      <c r="D10" s="11" t="s">
        <v>9</v>
      </c>
      <c r="E10" s="60" t="s">
        <v>20</v>
      </c>
      <c r="G10" s="21" t="s">
        <v>22</v>
      </c>
      <c r="H10" s="12"/>
      <c r="I10" s="21" t="s">
        <v>23</v>
      </c>
      <c r="J10" s="12"/>
      <c r="K10" s="21" t="s">
        <v>24</v>
      </c>
      <c r="L10" s="12"/>
      <c r="M10" s="21" t="s">
        <v>23</v>
      </c>
      <c r="N10" s="12"/>
      <c r="O10" s="12"/>
      <c r="P10" s="12"/>
      <c r="Q10" s="21" t="s">
        <v>22</v>
      </c>
      <c r="R10" s="12"/>
      <c r="S10" s="12"/>
      <c r="T10" s="12"/>
      <c r="V10" s="12"/>
      <c r="W10" s="12"/>
    </row>
    <row r="11" spans="1:23" ht="12.75">
      <c r="A11" s="13" t="s">
        <v>2</v>
      </c>
      <c r="B11" s="58" t="s">
        <v>37</v>
      </c>
      <c r="E11" s="10"/>
      <c r="F11" s="10"/>
      <c r="G11" s="14" t="s">
        <v>11</v>
      </c>
      <c r="H11" s="7"/>
      <c r="I11" s="14" t="s">
        <v>11</v>
      </c>
      <c r="J11" s="7"/>
      <c r="K11" s="14"/>
      <c r="L11" s="7"/>
      <c r="M11" s="14"/>
      <c r="N11" s="7"/>
      <c r="O11" s="7"/>
      <c r="P11" s="7"/>
      <c r="Q11" s="14"/>
      <c r="R11" s="7"/>
      <c r="S11" s="7"/>
      <c r="T11" s="7"/>
      <c r="V11" s="7"/>
      <c r="W11" s="7"/>
    </row>
    <row r="12" spans="2:23" ht="14.25" customHeight="1">
      <c r="B12" s="58" t="s">
        <v>2</v>
      </c>
      <c r="C12" s="11" t="s">
        <v>10</v>
      </c>
      <c r="E12" s="61" t="s">
        <v>19</v>
      </c>
      <c r="F12" s="7"/>
      <c r="G12" s="14" t="s">
        <v>12</v>
      </c>
      <c r="H12" s="7"/>
      <c r="I12" s="14" t="s">
        <v>12</v>
      </c>
      <c r="J12" s="7"/>
      <c r="K12" s="14" t="s">
        <v>12</v>
      </c>
      <c r="L12" s="7"/>
      <c r="M12" s="14" t="s">
        <v>12</v>
      </c>
      <c r="N12" s="7"/>
      <c r="O12" s="7"/>
      <c r="P12" s="7"/>
      <c r="Q12" s="14" t="s">
        <v>12</v>
      </c>
      <c r="R12" s="7"/>
      <c r="S12" s="7"/>
      <c r="T12" s="7"/>
      <c r="V12" s="7"/>
      <c r="W12" s="7"/>
    </row>
    <row r="13" spans="1:23" ht="12.75">
      <c r="A13" s="8"/>
      <c r="B13" s="8"/>
      <c r="C13" s="8"/>
      <c r="D13" s="8"/>
      <c r="E13" s="8"/>
      <c r="F13" s="8"/>
      <c r="G13" s="15" t="s">
        <v>13</v>
      </c>
      <c r="H13" s="9"/>
      <c r="I13" s="15" t="s">
        <v>13</v>
      </c>
      <c r="J13" s="9"/>
      <c r="K13" s="15" t="s">
        <v>13</v>
      </c>
      <c r="L13" s="9"/>
      <c r="M13" s="15" t="s">
        <v>13</v>
      </c>
      <c r="N13" s="9"/>
      <c r="O13" s="9"/>
      <c r="P13" s="9"/>
      <c r="Q13" s="15" t="s">
        <v>13</v>
      </c>
      <c r="R13" s="9"/>
      <c r="S13" s="19"/>
      <c r="T13" s="19"/>
      <c r="V13" s="19"/>
      <c r="W13" s="19"/>
    </row>
    <row r="14" spans="1:23" ht="14.25" customHeight="1">
      <c r="A14" s="31"/>
      <c r="B14" s="73"/>
      <c r="C14" s="181">
        <v>757</v>
      </c>
      <c r="D14" s="130" t="s">
        <v>196</v>
      </c>
      <c r="E14" s="91" t="s">
        <v>369</v>
      </c>
      <c r="F14" s="26">
        <v>33</v>
      </c>
      <c r="G14" s="82">
        <v>12.8</v>
      </c>
      <c r="H14" s="34">
        <f>G16</f>
        <v>598</v>
      </c>
      <c r="I14" s="83">
        <v>5.48</v>
      </c>
      <c r="J14" s="34">
        <f>G17+I16</f>
        <v>1075</v>
      </c>
      <c r="K14" s="83">
        <v>1.7</v>
      </c>
      <c r="L14" s="18">
        <f>I17+K16</f>
        <v>1619</v>
      </c>
      <c r="M14" s="83">
        <v>9.55</v>
      </c>
      <c r="N14" s="27">
        <f>K17+M16</f>
        <v>2078</v>
      </c>
      <c r="O14" s="84">
        <v>2</v>
      </c>
      <c r="P14" s="7" t="s">
        <v>25</v>
      </c>
      <c r="Q14" s="184" t="s">
        <v>435</v>
      </c>
      <c r="R14" s="28">
        <f>M17+Q16</f>
        <v>2493</v>
      </c>
      <c r="S14" s="18"/>
      <c r="T14" s="18"/>
      <c r="V14" s="18"/>
      <c r="W14" s="18"/>
    </row>
    <row r="15" spans="1:23" ht="12.75" customHeight="1">
      <c r="A15" s="32">
        <v>1</v>
      </c>
      <c r="B15" s="74"/>
      <c r="C15" s="89"/>
      <c r="D15" s="11"/>
      <c r="E15" s="91"/>
      <c r="F15" s="26">
        <v>34</v>
      </c>
      <c r="G15" s="85"/>
      <c r="H15" s="35">
        <f>G16</f>
        <v>598</v>
      </c>
      <c r="I15" s="14"/>
      <c r="J15" s="35">
        <f>G17+I16</f>
        <v>1075</v>
      </c>
      <c r="K15" s="85"/>
      <c r="L15" s="18">
        <f>I17+K16</f>
        <v>1619</v>
      </c>
      <c r="M15" s="14"/>
      <c r="N15" s="19">
        <f>K17+M16</f>
        <v>2078</v>
      </c>
      <c r="O15" s="14"/>
      <c r="P15" s="14"/>
      <c r="Q15" s="14"/>
      <c r="R15" s="29">
        <f>M17+Q16</f>
        <v>2493</v>
      </c>
      <c r="S15" s="18"/>
      <c r="T15" s="18"/>
      <c r="U15" s="38"/>
      <c r="V15" s="18"/>
      <c r="W15" s="18"/>
    </row>
    <row r="16" spans="1:23" ht="14.25" customHeight="1">
      <c r="A16" s="32"/>
      <c r="B16" s="175"/>
      <c r="C16" s="11" t="s">
        <v>145</v>
      </c>
      <c r="D16" s="11"/>
      <c r="E16" s="25">
        <f>R14</f>
        <v>2493</v>
      </c>
      <c r="F16" s="10">
        <v>35</v>
      </c>
      <c r="G16" s="17">
        <f>ROUNDDOWN(7.399*(23.76-(G14))^1.835,0)</f>
        <v>598</v>
      </c>
      <c r="H16" s="35">
        <f>G16</f>
        <v>598</v>
      </c>
      <c r="I16" s="17">
        <f>ROUNDDOWN(0.14354*(100*I14-220)^1.4,0)</f>
        <v>477</v>
      </c>
      <c r="J16" s="35">
        <f>G17+I16</f>
        <v>1075</v>
      </c>
      <c r="K16" s="17">
        <f>ROUNDDOWN(0.8465*(100*K14-75)^1.42,0)</f>
        <v>544</v>
      </c>
      <c r="L16" s="18">
        <f>I17+K16</f>
        <v>1619</v>
      </c>
      <c r="M16" s="17">
        <f>ROUNDDOWN(51.39*(M14-1.5)^1.05,0)</f>
        <v>459</v>
      </c>
      <c r="N16" s="19">
        <f>K17+M16</f>
        <v>2078</v>
      </c>
      <c r="O16" s="14"/>
      <c r="P16" s="14"/>
      <c r="Q16" s="23">
        <f>IF(O14+Q14=0,0,TRUNC(0.232*((200-(O14*60+Q14))^1.85)))</f>
        <v>415</v>
      </c>
      <c r="R16" s="29">
        <f>M17+Q16</f>
        <v>2493</v>
      </c>
      <c r="S16" s="18"/>
      <c r="T16" s="18"/>
      <c r="V16" s="18"/>
      <c r="W16" s="18"/>
    </row>
    <row r="17" spans="1:23" ht="14.25" customHeight="1">
      <c r="A17" s="33"/>
      <c r="B17" s="76"/>
      <c r="C17" s="8"/>
      <c r="D17" s="8"/>
      <c r="E17" s="37"/>
      <c r="F17" s="26">
        <v>36</v>
      </c>
      <c r="G17" s="15">
        <f>G16</f>
        <v>598</v>
      </c>
      <c r="H17" s="36">
        <f>G16</f>
        <v>598</v>
      </c>
      <c r="I17" s="15">
        <f>G17+I16</f>
        <v>1075</v>
      </c>
      <c r="J17" s="35">
        <f>G17+I16</f>
        <v>1075</v>
      </c>
      <c r="K17" s="15">
        <f>I17+K16</f>
        <v>1619</v>
      </c>
      <c r="L17" s="15">
        <f>I17+K16</f>
        <v>1619</v>
      </c>
      <c r="M17" s="15">
        <f>K17+M16</f>
        <v>2078</v>
      </c>
      <c r="N17" s="19">
        <f>K17+M16</f>
        <v>2078</v>
      </c>
      <c r="O17" s="15"/>
      <c r="P17" s="15"/>
      <c r="Q17" s="24">
        <f>M17+Q16</f>
        <v>2493</v>
      </c>
      <c r="R17" s="29">
        <f>M17+Q16</f>
        <v>2493</v>
      </c>
      <c r="S17" s="18"/>
      <c r="T17" s="18"/>
      <c r="V17" s="18"/>
      <c r="W17" s="18"/>
    </row>
    <row r="18" spans="1:23" ht="14.25" customHeight="1">
      <c r="A18" s="31"/>
      <c r="B18" s="73"/>
      <c r="C18" s="181">
        <v>750</v>
      </c>
      <c r="D18" s="130" t="s">
        <v>189</v>
      </c>
      <c r="E18" s="91" t="s">
        <v>500</v>
      </c>
      <c r="F18" s="10">
        <v>5</v>
      </c>
      <c r="G18" s="82">
        <v>13.5</v>
      </c>
      <c r="H18" s="34">
        <f>G20</f>
        <v>530</v>
      </c>
      <c r="I18" s="83">
        <v>5.36</v>
      </c>
      <c r="J18" s="34">
        <f>G21+I20</f>
        <v>983</v>
      </c>
      <c r="K18" s="83">
        <v>1.64</v>
      </c>
      <c r="L18" s="18">
        <f>I21+K20</f>
        <v>1479</v>
      </c>
      <c r="M18" s="83">
        <v>11.3</v>
      </c>
      <c r="N18" s="27">
        <f>K21+M20</f>
        <v>2043</v>
      </c>
      <c r="O18" s="84">
        <v>2</v>
      </c>
      <c r="P18" s="7" t="s">
        <v>25</v>
      </c>
      <c r="Q18" s="184" t="s">
        <v>496</v>
      </c>
      <c r="R18" s="28">
        <f>M21+Q20</f>
        <v>2290</v>
      </c>
      <c r="T18" s="20"/>
      <c r="U18" s="16"/>
      <c r="V18" s="20"/>
      <c r="W18" s="20"/>
    </row>
    <row r="19" spans="1:18" ht="12.75" customHeight="1">
      <c r="A19" s="32">
        <v>2</v>
      </c>
      <c r="B19" s="74"/>
      <c r="C19" s="11"/>
      <c r="D19" s="11"/>
      <c r="E19" s="25"/>
      <c r="F19" s="26">
        <v>6</v>
      </c>
      <c r="G19" s="85"/>
      <c r="H19" s="35">
        <f>G20</f>
        <v>530</v>
      </c>
      <c r="I19" s="14"/>
      <c r="J19" s="35">
        <f>G21+I20</f>
        <v>983</v>
      </c>
      <c r="K19" s="85"/>
      <c r="L19" s="18">
        <f>I21+K20</f>
        <v>1479</v>
      </c>
      <c r="M19" s="14"/>
      <c r="N19" s="19">
        <f>K21+M20</f>
        <v>2043</v>
      </c>
      <c r="O19" s="14"/>
      <c r="P19" s="14"/>
      <c r="Q19" s="14"/>
      <c r="R19" s="29">
        <f>M21+Q20</f>
        <v>2290</v>
      </c>
    </row>
    <row r="20" spans="1:21" ht="14.25" customHeight="1">
      <c r="A20" s="32"/>
      <c r="B20" s="197">
        <v>1</v>
      </c>
      <c r="C20" s="11" t="s">
        <v>228</v>
      </c>
      <c r="E20" s="25">
        <f>R18</f>
        <v>2290</v>
      </c>
      <c r="F20" s="26">
        <v>7</v>
      </c>
      <c r="G20" s="17">
        <f>ROUNDDOWN(7.399*(23.76-(G18))^1.835,0)</f>
        <v>530</v>
      </c>
      <c r="H20" s="35">
        <f>G20</f>
        <v>530</v>
      </c>
      <c r="I20" s="17">
        <f>ROUNDDOWN(0.14354*(100*I18-220)^1.4,0)</f>
        <v>453</v>
      </c>
      <c r="J20" s="35">
        <f>G21+I20</f>
        <v>983</v>
      </c>
      <c r="K20" s="17">
        <f>ROUNDDOWN(0.8465*(100*K18-75)^1.42,0)</f>
        <v>496</v>
      </c>
      <c r="L20" s="18">
        <f>I21+K20</f>
        <v>1479</v>
      </c>
      <c r="M20" s="17">
        <f>ROUNDDOWN(51.39*(M18-1.5)^1.05,0)</f>
        <v>564</v>
      </c>
      <c r="N20" s="19">
        <f>K21+M20</f>
        <v>2043</v>
      </c>
      <c r="O20" s="14"/>
      <c r="P20" s="14"/>
      <c r="Q20" s="23">
        <f>IF(O18+Q18=0,0,TRUNC(0.232*((200-(O18*60+Q18))^1.85)))</f>
        <v>247</v>
      </c>
      <c r="R20" s="29">
        <f>M21+Q20</f>
        <v>2290</v>
      </c>
      <c r="U20" s="38"/>
    </row>
    <row r="21" spans="1:23" ht="14.25" customHeight="1">
      <c r="A21" s="33"/>
      <c r="B21" s="76"/>
      <c r="C21" s="8"/>
      <c r="D21" s="8"/>
      <c r="E21" s="8"/>
      <c r="F21" s="10">
        <v>8</v>
      </c>
      <c r="G21" s="15">
        <f>G20</f>
        <v>530</v>
      </c>
      <c r="H21" s="36">
        <f>G20</f>
        <v>530</v>
      </c>
      <c r="I21" s="15">
        <f>G21+I20</f>
        <v>983</v>
      </c>
      <c r="J21" s="35">
        <f>G21+I20</f>
        <v>983</v>
      </c>
      <c r="K21" s="15">
        <f>I21+K20</f>
        <v>1479</v>
      </c>
      <c r="L21" s="15">
        <f>I21+K20</f>
        <v>1479</v>
      </c>
      <c r="M21" s="15">
        <f>K21+M20</f>
        <v>2043</v>
      </c>
      <c r="N21" s="19">
        <f>K21+M20</f>
        <v>2043</v>
      </c>
      <c r="O21" s="15"/>
      <c r="P21" s="15"/>
      <c r="Q21" s="24">
        <f>M21+Q20</f>
        <v>2290</v>
      </c>
      <c r="R21" s="29">
        <f>M21+Q20</f>
        <v>2290</v>
      </c>
      <c r="W21" s="22"/>
    </row>
    <row r="22" spans="1:19" ht="14.25" customHeight="1">
      <c r="A22" s="31"/>
      <c r="B22" s="73"/>
      <c r="C22" s="181">
        <v>754</v>
      </c>
      <c r="D22" s="130" t="s">
        <v>193</v>
      </c>
      <c r="E22" s="91" t="s">
        <v>501</v>
      </c>
      <c r="F22" s="26">
        <v>21</v>
      </c>
      <c r="G22" s="82">
        <v>13.1</v>
      </c>
      <c r="H22" s="34">
        <f>G24</f>
        <v>568</v>
      </c>
      <c r="I22" s="83">
        <v>5.13</v>
      </c>
      <c r="J22" s="34">
        <f>G25+I24</f>
        <v>975</v>
      </c>
      <c r="K22" s="83">
        <v>1.61</v>
      </c>
      <c r="L22" s="18">
        <f>I25+K24</f>
        <v>1447</v>
      </c>
      <c r="M22" s="83">
        <v>8.13</v>
      </c>
      <c r="N22" s="27">
        <f>K25+M24</f>
        <v>1821</v>
      </c>
      <c r="O22" s="84">
        <v>2</v>
      </c>
      <c r="P22" s="7" t="s">
        <v>25</v>
      </c>
      <c r="Q22" s="184" t="s">
        <v>492</v>
      </c>
      <c r="R22" s="28">
        <f>M25+Q24</f>
        <v>2192</v>
      </c>
      <c r="S22" s="20"/>
    </row>
    <row r="23" spans="1:18" ht="12.75" customHeight="1">
      <c r="A23" s="32">
        <v>3</v>
      </c>
      <c r="B23" s="74"/>
      <c r="E23" s="10"/>
      <c r="F23" s="26">
        <v>22</v>
      </c>
      <c r="G23" s="85"/>
      <c r="H23" s="35">
        <f>G24</f>
        <v>568</v>
      </c>
      <c r="I23" s="14"/>
      <c r="J23" s="35">
        <f>G25+I24</f>
        <v>975</v>
      </c>
      <c r="K23" s="85"/>
      <c r="L23" s="18">
        <f>I25+K24</f>
        <v>1447</v>
      </c>
      <c r="M23" s="14"/>
      <c r="N23" s="19">
        <f>K25+M24</f>
        <v>1821</v>
      </c>
      <c r="O23" s="14"/>
      <c r="P23" s="14"/>
      <c r="Q23" s="14"/>
      <c r="R23" s="29">
        <f>M25+Q24</f>
        <v>2192</v>
      </c>
    </row>
    <row r="24" spans="1:21" ht="14.25" customHeight="1">
      <c r="A24" s="32"/>
      <c r="B24" s="77">
        <v>2</v>
      </c>
      <c r="C24" s="11" t="s">
        <v>101</v>
      </c>
      <c r="D24" s="11"/>
      <c r="E24" s="25">
        <f>R22</f>
        <v>2192</v>
      </c>
      <c r="F24" s="10">
        <v>23</v>
      </c>
      <c r="G24" s="17">
        <f>ROUNDDOWN(7.399*(23.76-(G22))^1.835,0)</f>
        <v>568</v>
      </c>
      <c r="H24" s="35">
        <f>G24</f>
        <v>568</v>
      </c>
      <c r="I24" s="17">
        <f>ROUNDDOWN(0.14354*(100*I22-220)^1.4,0)</f>
        <v>407</v>
      </c>
      <c r="J24" s="35">
        <f>G25+I24</f>
        <v>975</v>
      </c>
      <c r="K24" s="17">
        <f>ROUNDDOWN(0.8465*(100*K22-75)^1.42,0)</f>
        <v>472</v>
      </c>
      <c r="L24" s="18">
        <f>I25+K24</f>
        <v>1447</v>
      </c>
      <c r="M24" s="17">
        <f>ROUNDDOWN(51.39*(M22-1.5)^1.05,0)</f>
        <v>374</v>
      </c>
      <c r="N24" s="19">
        <f>K25+M24</f>
        <v>1821</v>
      </c>
      <c r="O24" s="14"/>
      <c r="P24" s="14"/>
      <c r="Q24" s="23">
        <f>IF(O22+Q22=0,0,TRUNC(0.232*((200-(O22*60+Q22))^1.85)))</f>
        <v>371</v>
      </c>
      <c r="R24" s="29">
        <f>M25+Q24</f>
        <v>2192</v>
      </c>
      <c r="U24" s="2"/>
    </row>
    <row r="25" spans="1:18" ht="14.25" customHeight="1">
      <c r="A25" s="33"/>
      <c r="B25" s="76"/>
      <c r="C25" s="8"/>
      <c r="D25" s="8"/>
      <c r="E25" s="8"/>
      <c r="F25" s="26">
        <v>24</v>
      </c>
      <c r="G25" s="15">
        <f>G24</f>
        <v>568</v>
      </c>
      <c r="H25" s="36">
        <f>G24</f>
        <v>568</v>
      </c>
      <c r="I25" s="15">
        <f>G25+I24</f>
        <v>975</v>
      </c>
      <c r="J25" s="35">
        <f>G25+I24</f>
        <v>975</v>
      </c>
      <c r="K25" s="15">
        <f>I25+K24</f>
        <v>1447</v>
      </c>
      <c r="L25" s="15">
        <f>I25+K24</f>
        <v>1447</v>
      </c>
      <c r="M25" s="15">
        <f>K25+M24</f>
        <v>1821</v>
      </c>
      <c r="N25" s="19">
        <f>K25+M24</f>
        <v>1821</v>
      </c>
      <c r="O25" s="15"/>
      <c r="P25" s="15"/>
      <c r="Q25" s="24">
        <f>M25+Q24</f>
        <v>2192</v>
      </c>
      <c r="R25" s="29">
        <f>M25+Q24</f>
        <v>2192</v>
      </c>
    </row>
    <row r="26" spans="1:18" ht="14.25" customHeight="1">
      <c r="A26" s="31"/>
      <c r="B26" s="73"/>
      <c r="C26" s="181">
        <v>752</v>
      </c>
      <c r="D26" s="130" t="s">
        <v>191</v>
      </c>
      <c r="E26" s="91" t="s">
        <v>502</v>
      </c>
      <c r="F26" s="26">
        <v>13</v>
      </c>
      <c r="G26" s="82">
        <v>13.5</v>
      </c>
      <c r="H26" s="34">
        <f>G28</f>
        <v>530</v>
      </c>
      <c r="I26" s="83">
        <v>5.03</v>
      </c>
      <c r="J26" s="34">
        <f>G29+I28</f>
        <v>918</v>
      </c>
      <c r="K26" s="83">
        <v>1.43</v>
      </c>
      <c r="L26" s="18">
        <f>I29+K28</f>
        <v>1256</v>
      </c>
      <c r="M26" s="83">
        <v>9.53</v>
      </c>
      <c r="N26" s="27">
        <f>K29+M28</f>
        <v>1713</v>
      </c>
      <c r="O26" s="84">
        <v>2</v>
      </c>
      <c r="P26" s="7" t="s">
        <v>25</v>
      </c>
      <c r="Q26" s="184" t="s">
        <v>493</v>
      </c>
      <c r="R26" s="28">
        <f>M29+Q28</f>
        <v>2068</v>
      </c>
    </row>
    <row r="27" spans="1:18" ht="12.75" customHeight="1">
      <c r="A27" s="32">
        <v>4</v>
      </c>
      <c r="B27" s="74"/>
      <c r="C27" s="11"/>
      <c r="D27" s="11"/>
      <c r="E27" s="25"/>
      <c r="F27" s="10">
        <v>14</v>
      </c>
      <c r="G27" s="85"/>
      <c r="H27" s="35">
        <f>G28</f>
        <v>530</v>
      </c>
      <c r="I27" s="14"/>
      <c r="J27" s="35">
        <f>G29+I28</f>
        <v>918</v>
      </c>
      <c r="K27" s="85"/>
      <c r="L27" s="18">
        <f>I29+K28</f>
        <v>1256</v>
      </c>
      <c r="M27" s="14"/>
      <c r="N27" s="19">
        <f>K29+M28</f>
        <v>1713</v>
      </c>
      <c r="O27" s="14"/>
      <c r="P27" s="14"/>
      <c r="Q27" s="14"/>
      <c r="R27" s="29">
        <f>M29+Q28</f>
        <v>2068</v>
      </c>
    </row>
    <row r="28" spans="1:21" ht="14.25" customHeight="1">
      <c r="A28" s="32"/>
      <c r="B28" s="77"/>
      <c r="C28" s="11" t="s">
        <v>143</v>
      </c>
      <c r="E28" s="25">
        <f>R26</f>
        <v>2068</v>
      </c>
      <c r="F28" s="26">
        <v>15</v>
      </c>
      <c r="G28" s="17">
        <f>ROUNDDOWN(7.399*(23.76-(G26))^1.835,0)</f>
        <v>530</v>
      </c>
      <c r="H28" s="35">
        <f>G28</f>
        <v>530</v>
      </c>
      <c r="I28" s="17">
        <f>ROUNDDOWN(0.14354*(100*I26-220)^1.4,0)</f>
        <v>388</v>
      </c>
      <c r="J28" s="35">
        <f>G29+I28</f>
        <v>918</v>
      </c>
      <c r="K28" s="17">
        <f>ROUNDDOWN(0.8465*(100*K26-75)^1.42,0)</f>
        <v>338</v>
      </c>
      <c r="L28" s="18">
        <f>I29+K28</f>
        <v>1256</v>
      </c>
      <c r="M28" s="17">
        <f>ROUNDDOWN(51.39*(M26-1.5)^1.05,0)</f>
        <v>457</v>
      </c>
      <c r="N28" s="19">
        <f>K29+M28</f>
        <v>1713</v>
      </c>
      <c r="O28" s="14"/>
      <c r="P28" s="14"/>
      <c r="Q28" s="23">
        <f>IF(O26+Q26=0,0,TRUNC(0.232*((200-(O26*60+Q26))^1.85)))</f>
        <v>355</v>
      </c>
      <c r="R28" s="29">
        <f>M29+Q28</f>
        <v>2068</v>
      </c>
      <c r="U28" s="38"/>
    </row>
    <row r="29" spans="1:18" ht="14.25" customHeight="1">
      <c r="A29" s="33"/>
      <c r="B29" s="76"/>
      <c r="C29" s="8"/>
      <c r="D29" s="8"/>
      <c r="E29" s="8"/>
      <c r="F29" s="26">
        <v>16</v>
      </c>
      <c r="G29" s="15">
        <f>G28</f>
        <v>530</v>
      </c>
      <c r="H29" s="36">
        <f>G28</f>
        <v>530</v>
      </c>
      <c r="I29" s="15">
        <f>G29+I28</f>
        <v>918</v>
      </c>
      <c r="J29" s="35">
        <f>G29+I28</f>
        <v>918</v>
      </c>
      <c r="K29" s="15">
        <f>I29+K28</f>
        <v>1256</v>
      </c>
      <c r="L29" s="15">
        <f>I29+K28</f>
        <v>1256</v>
      </c>
      <c r="M29" s="15">
        <f>K29+M28</f>
        <v>1713</v>
      </c>
      <c r="N29" s="19">
        <f>K29+M28</f>
        <v>1713</v>
      </c>
      <c r="O29" s="15"/>
      <c r="P29" s="15"/>
      <c r="Q29" s="24">
        <f>M29+Q28</f>
        <v>2068</v>
      </c>
      <c r="R29" s="29">
        <f>M29+Q28</f>
        <v>2068</v>
      </c>
    </row>
    <row r="30" spans="1:18" ht="14.25" customHeight="1">
      <c r="A30" s="31"/>
      <c r="B30" s="73"/>
      <c r="C30" s="181">
        <v>758</v>
      </c>
      <c r="D30" s="130" t="s">
        <v>197</v>
      </c>
      <c r="E30" s="91" t="s">
        <v>503</v>
      </c>
      <c r="F30" s="26">
        <v>37</v>
      </c>
      <c r="G30" s="82">
        <v>12</v>
      </c>
      <c r="H30" s="34">
        <f>G32</f>
        <v>681</v>
      </c>
      <c r="I30" s="83">
        <v>4.77</v>
      </c>
      <c r="J30" s="34">
        <f>G33+I32</f>
        <v>1020</v>
      </c>
      <c r="K30" s="83">
        <v>1.61</v>
      </c>
      <c r="L30" s="18">
        <f>I33+K32</f>
        <v>1492</v>
      </c>
      <c r="M30" s="83">
        <v>7.69</v>
      </c>
      <c r="N30" s="27">
        <f>K33+M32</f>
        <v>1840</v>
      </c>
      <c r="O30" s="84">
        <v>2</v>
      </c>
      <c r="P30" s="7" t="s">
        <v>25</v>
      </c>
      <c r="Q30" s="184" t="s">
        <v>497</v>
      </c>
      <c r="R30" s="28">
        <f>M33+Q32</f>
        <v>2041</v>
      </c>
    </row>
    <row r="31" spans="1:18" ht="12.75" customHeight="1">
      <c r="A31" s="32">
        <v>5</v>
      </c>
      <c r="B31" s="74"/>
      <c r="C31" s="89"/>
      <c r="D31" s="11"/>
      <c r="E31" s="91"/>
      <c r="F31" s="10">
        <v>38</v>
      </c>
      <c r="G31" s="85"/>
      <c r="H31" s="35">
        <f>G32</f>
        <v>681</v>
      </c>
      <c r="I31" s="14"/>
      <c r="J31" s="35">
        <f>G33+I32</f>
        <v>1020</v>
      </c>
      <c r="K31" s="85"/>
      <c r="L31" s="18">
        <f>I33+K32</f>
        <v>1492</v>
      </c>
      <c r="M31" s="14"/>
      <c r="N31" s="19">
        <f>K33+M32</f>
        <v>1840</v>
      </c>
      <c r="O31" s="14"/>
      <c r="P31" s="14"/>
      <c r="Q31" s="14"/>
      <c r="R31" s="29">
        <f>M33+Q32</f>
        <v>2041</v>
      </c>
    </row>
    <row r="32" spans="1:21" ht="14.25" customHeight="1">
      <c r="A32" s="32"/>
      <c r="B32" s="198">
        <v>3</v>
      </c>
      <c r="C32" s="11" t="s">
        <v>57</v>
      </c>
      <c r="D32" s="11"/>
      <c r="E32" s="25">
        <f>R30</f>
        <v>2041</v>
      </c>
      <c r="F32" s="26">
        <v>39</v>
      </c>
      <c r="G32" s="17">
        <f>ROUNDDOWN(7.399*(23.76-(G30))^1.835,0)</f>
        <v>681</v>
      </c>
      <c r="H32" s="35">
        <f>G32</f>
        <v>681</v>
      </c>
      <c r="I32" s="17">
        <f>ROUNDDOWN(0.14354*(100*I30-220)^1.4,0)</f>
        <v>339</v>
      </c>
      <c r="J32" s="35">
        <f>G33+I32</f>
        <v>1020</v>
      </c>
      <c r="K32" s="17">
        <f>ROUNDDOWN(0.8465*(100*K30-75)^1.42,0)</f>
        <v>472</v>
      </c>
      <c r="L32" s="18">
        <f>I33+K32</f>
        <v>1492</v>
      </c>
      <c r="M32" s="17">
        <f>ROUNDDOWN(51.39*(M30-1.5)^1.05,0)</f>
        <v>348</v>
      </c>
      <c r="N32" s="19">
        <f>K33+M32</f>
        <v>1840</v>
      </c>
      <c r="O32" s="14"/>
      <c r="P32" s="14"/>
      <c r="Q32" s="23">
        <f>IF(O30+Q30=0,0,TRUNC(0.232*((200-(O30*60+Q30))^1.85)))</f>
        <v>201</v>
      </c>
      <c r="R32" s="29">
        <f>M33+Q32</f>
        <v>2041</v>
      </c>
      <c r="U32" s="38"/>
    </row>
    <row r="33" spans="1:18" ht="14.25" customHeight="1">
      <c r="A33" s="33"/>
      <c r="B33" s="76"/>
      <c r="C33" s="8"/>
      <c r="D33" s="8"/>
      <c r="E33" s="37"/>
      <c r="F33" s="26">
        <v>40</v>
      </c>
      <c r="G33" s="15">
        <f>G32</f>
        <v>681</v>
      </c>
      <c r="H33" s="36">
        <f>G32</f>
        <v>681</v>
      </c>
      <c r="I33" s="15">
        <f>G33+I32</f>
        <v>1020</v>
      </c>
      <c r="J33" s="35">
        <f>G33+I32</f>
        <v>1020</v>
      </c>
      <c r="K33" s="15">
        <f>I33+K32</f>
        <v>1492</v>
      </c>
      <c r="L33" s="15">
        <f>I33+K32</f>
        <v>1492</v>
      </c>
      <c r="M33" s="15">
        <f>K33+M32</f>
        <v>1840</v>
      </c>
      <c r="N33" s="19">
        <f>K33+M32</f>
        <v>1840</v>
      </c>
      <c r="O33" s="15"/>
      <c r="P33" s="15"/>
      <c r="Q33" s="24">
        <f>M33+Q32</f>
        <v>2041</v>
      </c>
      <c r="R33" s="29">
        <f>M33+Q32</f>
        <v>2041</v>
      </c>
    </row>
    <row r="34" spans="1:18" ht="14.25" customHeight="1">
      <c r="A34" s="31"/>
      <c r="B34" s="73"/>
      <c r="C34" s="181">
        <v>751</v>
      </c>
      <c r="D34" s="130" t="s">
        <v>190</v>
      </c>
      <c r="E34" s="91" t="s">
        <v>504</v>
      </c>
      <c r="F34" s="26">
        <v>9</v>
      </c>
      <c r="G34" s="82">
        <v>13.9</v>
      </c>
      <c r="H34" s="34">
        <f>G36</f>
        <v>493</v>
      </c>
      <c r="I34" s="83">
        <v>4.38</v>
      </c>
      <c r="J34" s="34">
        <f>G37+I36</f>
        <v>762</v>
      </c>
      <c r="K34" s="83">
        <v>1.43</v>
      </c>
      <c r="L34" s="18">
        <f>I37+K36</f>
        <v>1100</v>
      </c>
      <c r="M34" s="83">
        <v>8.3</v>
      </c>
      <c r="N34" s="27">
        <f>K37+M36</f>
        <v>1484</v>
      </c>
      <c r="O34" s="84">
        <v>2</v>
      </c>
      <c r="P34" s="7" t="s">
        <v>25</v>
      </c>
      <c r="Q34" s="184" t="s">
        <v>494</v>
      </c>
      <c r="R34" s="28">
        <f>M37+Q36</f>
        <v>1785</v>
      </c>
    </row>
    <row r="35" spans="1:18" ht="12.75" customHeight="1">
      <c r="A35" s="32">
        <v>6</v>
      </c>
      <c r="B35" s="74"/>
      <c r="E35" s="10"/>
      <c r="F35" s="26">
        <v>10</v>
      </c>
      <c r="G35" s="85"/>
      <c r="H35" s="35">
        <f>G36</f>
        <v>493</v>
      </c>
      <c r="I35" s="14"/>
      <c r="J35" s="35">
        <f>G37+I36</f>
        <v>762</v>
      </c>
      <c r="K35" s="85"/>
      <c r="L35" s="18">
        <f>I37+K36</f>
        <v>1100</v>
      </c>
      <c r="M35" s="14"/>
      <c r="N35" s="19">
        <f>K37+M36</f>
        <v>1484</v>
      </c>
      <c r="O35" s="14"/>
      <c r="P35" s="14"/>
      <c r="Q35" s="14"/>
      <c r="R35" s="29">
        <f>M37+Q36</f>
        <v>1785</v>
      </c>
    </row>
    <row r="36" spans="1:21" ht="14.25" customHeight="1">
      <c r="A36" s="32"/>
      <c r="B36" s="131"/>
      <c r="C36" s="11" t="s">
        <v>103</v>
      </c>
      <c r="D36" s="11"/>
      <c r="E36" s="25">
        <f>R34</f>
        <v>1785</v>
      </c>
      <c r="F36" s="10">
        <v>11</v>
      </c>
      <c r="G36" s="17">
        <f>ROUNDDOWN(7.399*(23.76-(G34))^1.835,0)</f>
        <v>493</v>
      </c>
      <c r="H36" s="35">
        <f>G36</f>
        <v>493</v>
      </c>
      <c r="I36" s="17">
        <f>ROUNDDOWN(0.14354*(100*I34-220)^1.4,0)</f>
        <v>269</v>
      </c>
      <c r="J36" s="35">
        <f>G37+I36</f>
        <v>762</v>
      </c>
      <c r="K36" s="17">
        <f>ROUNDDOWN(0.8465*(100*K34-75)^1.42,0)</f>
        <v>338</v>
      </c>
      <c r="L36" s="18">
        <f>I37+K36</f>
        <v>1100</v>
      </c>
      <c r="M36" s="17">
        <f>ROUNDDOWN(51.39*(M34-1.5)^1.05,0)</f>
        <v>384</v>
      </c>
      <c r="N36" s="19">
        <f>K37+M36</f>
        <v>1484</v>
      </c>
      <c r="O36" s="14"/>
      <c r="P36" s="14"/>
      <c r="Q36" s="23">
        <f>IF(O34+Q34=0,0,TRUNC(0.232*((200-(O34*60+Q34))^1.85)))</f>
        <v>301</v>
      </c>
      <c r="R36" s="29">
        <f>M37+Q36</f>
        <v>1785</v>
      </c>
      <c r="U36" s="38"/>
    </row>
    <row r="37" spans="1:18" ht="14.25" customHeight="1">
      <c r="A37" s="33"/>
      <c r="B37" s="76"/>
      <c r="C37" s="8"/>
      <c r="D37" s="8"/>
      <c r="E37" s="8"/>
      <c r="F37" s="26">
        <v>12</v>
      </c>
      <c r="G37" s="15">
        <f>G36</f>
        <v>493</v>
      </c>
      <c r="H37" s="36">
        <f>G36</f>
        <v>493</v>
      </c>
      <c r="I37" s="15">
        <f>G37+I36</f>
        <v>762</v>
      </c>
      <c r="J37" s="35">
        <f>G37+I36</f>
        <v>762</v>
      </c>
      <c r="K37" s="15">
        <f>I37+K36</f>
        <v>1100</v>
      </c>
      <c r="L37" s="15">
        <f>I37+K36</f>
        <v>1100</v>
      </c>
      <c r="M37" s="15">
        <f>K37+M36</f>
        <v>1484</v>
      </c>
      <c r="N37" s="19">
        <f>K37+M36</f>
        <v>1484</v>
      </c>
      <c r="O37" s="15"/>
      <c r="P37" s="15"/>
      <c r="Q37" s="24">
        <f>M37+Q36</f>
        <v>1785</v>
      </c>
      <c r="R37" s="29">
        <f>M37+Q36</f>
        <v>1785</v>
      </c>
    </row>
    <row r="38" spans="1:18" ht="14.25" customHeight="1">
      <c r="A38" s="31"/>
      <c r="B38" s="73"/>
      <c r="C38" s="181">
        <v>755</v>
      </c>
      <c r="D38" s="130" t="s">
        <v>194</v>
      </c>
      <c r="E38" s="91" t="s">
        <v>505</v>
      </c>
      <c r="F38" s="26">
        <v>25</v>
      </c>
      <c r="G38" s="82">
        <v>16.5</v>
      </c>
      <c r="H38" s="34">
        <f>G40</f>
        <v>281</v>
      </c>
      <c r="I38" s="83">
        <v>4.8</v>
      </c>
      <c r="J38" s="34">
        <f>G41+I40</f>
        <v>626</v>
      </c>
      <c r="K38" s="83">
        <v>1.58</v>
      </c>
      <c r="L38" s="18">
        <f>I41+K40</f>
        <v>1075</v>
      </c>
      <c r="M38" s="83">
        <v>8.08</v>
      </c>
      <c r="N38" s="27">
        <f>K41+M40</f>
        <v>1446</v>
      </c>
      <c r="O38" s="84">
        <v>2</v>
      </c>
      <c r="P38" s="7" t="s">
        <v>25</v>
      </c>
      <c r="Q38" s="184" t="s">
        <v>498</v>
      </c>
      <c r="R38" s="28">
        <f>M41+Q40</f>
        <v>1528</v>
      </c>
    </row>
    <row r="39" spans="1:18" ht="12.75" customHeight="1">
      <c r="A39" s="32">
        <v>7</v>
      </c>
      <c r="B39" s="74"/>
      <c r="C39" s="89"/>
      <c r="D39" s="11"/>
      <c r="E39" s="91"/>
      <c r="F39" s="10">
        <v>26</v>
      </c>
      <c r="G39" s="85"/>
      <c r="H39" s="35">
        <f>G40</f>
        <v>281</v>
      </c>
      <c r="I39" s="14"/>
      <c r="J39" s="35">
        <f>G41+I40</f>
        <v>626</v>
      </c>
      <c r="K39" s="85"/>
      <c r="L39" s="18">
        <f>I41+K40</f>
        <v>1075</v>
      </c>
      <c r="M39" s="14"/>
      <c r="N39" s="19">
        <f>K41+M40</f>
        <v>1446</v>
      </c>
      <c r="O39" s="14"/>
      <c r="P39" s="14"/>
      <c r="Q39" s="14"/>
      <c r="R39" s="29">
        <f>M41+Q40</f>
        <v>1528</v>
      </c>
    </row>
    <row r="40" spans="1:21" ht="14.25" customHeight="1">
      <c r="A40" s="32"/>
      <c r="B40" s="131"/>
      <c r="C40" s="95" t="s">
        <v>225</v>
      </c>
      <c r="D40" s="11"/>
      <c r="E40" s="25">
        <f>R38</f>
        <v>1528</v>
      </c>
      <c r="F40" s="26">
        <v>27</v>
      </c>
      <c r="G40" s="17">
        <f>ROUNDDOWN(7.399*(23.76-(G38))^1.835,0)</f>
        <v>281</v>
      </c>
      <c r="H40" s="35">
        <f>G40</f>
        <v>281</v>
      </c>
      <c r="I40" s="17">
        <f>ROUNDDOWN(0.14354*(100*I38-220)^1.4,0)</f>
        <v>345</v>
      </c>
      <c r="J40" s="35">
        <f>G41+I40</f>
        <v>626</v>
      </c>
      <c r="K40" s="17">
        <f>ROUNDDOWN(0.8465*(100*K38-75)^1.42,0)</f>
        <v>449</v>
      </c>
      <c r="L40" s="18">
        <f>I41+K40</f>
        <v>1075</v>
      </c>
      <c r="M40" s="17">
        <f>ROUNDDOWN(51.39*(M38-1.5)^1.05,0)</f>
        <v>371</v>
      </c>
      <c r="N40" s="19">
        <f>K41+M40</f>
        <v>1446</v>
      </c>
      <c r="O40" s="14"/>
      <c r="P40" s="14"/>
      <c r="Q40" s="23">
        <f>IF(O38+Q38=0,0,TRUNC(0.232*((200-(O38*60+Q38))^1.85)))</f>
        <v>82</v>
      </c>
      <c r="R40" s="29">
        <f>M41+Q40</f>
        <v>1528</v>
      </c>
      <c r="U40" s="38"/>
    </row>
    <row r="41" spans="1:18" ht="14.25" customHeight="1">
      <c r="A41" s="33"/>
      <c r="B41" s="76"/>
      <c r="C41" s="8"/>
      <c r="D41" s="8"/>
      <c r="E41" s="37"/>
      <c r="F41" s="26">
        <v>28</v>
      </c>
      <c r="G41" s="15">
        <f>G40</f>
        <v>281</v>
      </c>
      <c r="H41" s="36">
        <f>G40</f>
        <v>281</v>
      </c>
      <c r="I41" s="15">
        <f>G41+I40</f>
        <v>626</v>
      </c>
      <c r="J41" s="36">
        <f>G41+I40</f>
        <v>626</v>
      </c>
      <c r="K41" s="15">
        <f>I41+K40</f>
        <v>1075</v>
      </c>
      <c r="L41" s="15">
        <f>I41+K40</f>
        <v>1075</v>
      </c>
      <c r="M41" s="15">
        <f>K41+M40</f>
        <v>1446</v>
      </c>
      <c r="N41" s="9">
        <f>K41+M40</f>
        <v>1446</v>
      </c>
      <c r="O41" s="15"/>
      <c r="P41" s="15"/>
      <c r="Q41" s="24">
        <f>M41+Q40</f>
        <v>1528</v>
      </c>
      <c r="R41" s="30">
        <f>M41+Q40</f>
        <v>1528</v>
      </c>
    </row>
    <row r="42" spans="1:19" ht="14.25" customHeight="1">
      <c r="A42" s="31"/>
      <c r="B42" s="73"/>
      <c r="C42" s="181">
        <v>749</v>
      </c>
      <c r="D42" s="130" t="s">
        <v>188</v>
      </c>
      <c r="E42" s="91" t="s">
        <v>506</v>
      </c>
      <c r="F42" s="26">
        <v>1</v>
      </c>
      <c r="G42" s="82">
        <v>16</v>
      </c>
      <c r="H42" s="34">
        <f>G44</f>
        <v>317</v>
      </c>
      <c r="I42" s="83">
        <v>4.09</v>
      </c>
      <c r="J42" s="34">
        <f>G45+I44</f>
        <v>537</v>
      </c>
      <c r="K42" s="83">
        <v>1.37</v>
      </c>
      <c r="L42" s="18">
        <f>I45+K44</f>
        <v>834</v>
      </c>
      <c r="M42" s="83">
        <v>7.47</v>
      </c>
      <c r="N42" s="27">
        <f>K45+M44</f>
        <v>1169</v>
      </c>
      <c r="O42" s="84">
        <v>2</v>
      </c>
      <c r="P42" s="7" t="s">
        <v>25</v>
      </c>
      <c r="Q42" s="184" t="s">
        <v>495</v>
      </c>
      <c r="R42" s="28">
        <f>M45+Q44</f>
        <v>1444</v>
      </c>
      <c r="S42" s="20"/>
    </row>
    <row r="43" spans="1:19" ht="14.25" customHeight="1">
      <c r="A43" s="32">
        <v>8</v>
      </c>
      <c r="B43" s="74"/>
      <c r="E43" s="10"/>
      <c r="F43" s="10">
        <v>2</v>
      </c>
      <c r="G43" s="85"/>
      <c r="H43" s="35">
        <f>G44</f>
        <v>317</v>
      </c>
      <c r="I43" s="14"/>
      <c r="J43" s="35">
        <f>G45+I44</f>
        <v>537</v>
      </c>
      <c r="K43" s="85"/>
      <c r="L43" s="18">
        <f>I45+K44</f>
        <v>834</v>
      </c>
      <c r="M43" s="14"/>
      <c r="N43" s="19">
        <f>K45+M44</f>
        <v>1169</v>
      </c>
      <c r="O43" s="14"/>
      <c r="P43" s="14"/>
      <c r="Q43" s="14"/>
      <c r="R43" s="29">
        <f>M45+Q44</f>
        <v>1444</v>
      </c>
      <c r="S43" s="20"/>
    </row>
    <row r="44" spans="1:19" ht="14.25" customHeight="1">
      <c r="A44" s="32"/>
      <c r="B44" s="131"/>
      <c r="C44" s="11" t="s">
        <v>128</v>
      </c>
      <c r="D44" s="11"/>
      <c r="E44" s="25">
        <f>R42</f>
        <v>1444</v>
      </c>
      <c r="F44" s="26">
        <v>3</v>
      </c>
      <c r="G44" s="17">
        <f>ROUNDDOWN(7.399*(23.76-(G42))^1.835,0)</f>
        <v>317</v>
      </c>
      <c r="H44" s="35">
        <f>G44</f>
        <v>317</v>
      </c>
      <c r="I44" s="17">
        <f>ROUNDDOWN(0.14354*(100*I42-220)^1.4,0)</f>
        <v>220</v>
      </c>
      <c r="J44" s="35">
        <f>G45+I44</f>
        <v>537</v>
      </c>
      <c r="K44" s="17">
        <f>ROUNDDOWN(0.8465*(100*K42-75)^1.42,0)</f>
        <v>297</v>
      </c>
      <c r="L44" s="18">
        <f>I45+K44</f>
        <v>834</v>
      </c>
      <c r="M44" s="17">
        <f>ROUNDDOWN(51.39*(M42-1.5)^1.05,0)</f>
        <v>335</v>
      </c>
      <c r="N44" s="19">
        <f>K45+M44</f>
        <v>1169</v>
      </c>
      <c r="O44" s="14"/>
      <c r="P44" s="14"/>
      <c r="Q44" s="23">
        <f>IF(O42+Q42=0,0,TRUNC(0.232*((200-(O42*60+Q42))^1.85)))</f>
        <v>275</v>
      </c>
      <c r="R44" s="29">
        <f>M45+Q44</f>
        <v>1444</v>
      </c>
      <c r="S44" s="20"/>
    </row>
    <row r="45" spans="1:19" ht="14.25" customHeight="1">
      <c r="A45" s="33"/>
      <c r="B45" s="76"/>
      <c r="C45" s="8"/>
      <c r="D45" s="8"/>
      <c r="E45" s="8"/>
      <c r="F45" s="26">
        <v>4</v>
      </c>
      <c r="G45" s="15">
        <f>G44</f>
        <v>317</v>
      </c>
      <c r="H45" s="36">
        <f>G44</f>
        <v>317</v>
      </c>
      <c r="I45" s="15">
        <f>G45+I44</f>
        <v>537</v>
      </c>
      <c r="J45" s="36">
        <f>G45+I44</f>
        <v>537</v>
      </c>
      <c r="K45" s="15">
        <f>I45+K44</f>
        <v>834</v>
      </c>
      <c r="L45" s="15">
        <f>I45+K44</f>
        <v>834</v>
      </c>
      <c r="M45" s="15">
        <f>K45+M44</f>
        <v>1169</v>
      </c>
      <c r="N45" s="9">
        <f>K45+M44</f>
        <v>1169</v>
      </c>
      <c r="O45" s="15"/>
      <c r="P45" s="15"/>
      <c r="Q45" s="24">
        <f>M45+Q44</f>
        <v>1444</v>
      </c>
      <c r="R45" s="30">
        <f>M45+Q44</f>
        <v>1444</v>
      </c>
      <c r="S45" s="20"/>
    </row>
    <row r="46" spans="1:19" ht="14.25" customHeight="1">
      <c r="A46" s="31"/>
      <c r="B46" s="73"/>
      <c r="C46" s="181">
        <v>753</v>
      </c>
      <c r="D46" s="130" t="s">
        <v>192</v>
      </c>
      <c r="E46" s="91" t="s">
        <v>507</v>
      </c>
      <c r="F46" s="10">
        <v>17</v>
      </c>
      <c r="G46" s="82">
        <v>14.5</v>
      </c>
      <c r="H46" s="34">
        <f>G48</f>
        <v>439</v>
      </c>
      <c r="I46" s="83">
        <v>4.33</v>
      </c>
      <c r="J46" s="34">
        <f>G49+I48</f>
        <v>700</v>
      </c>
      <c r="K46" s="83">
        <v>1.49</v>
      </c>
      <c r="L46" s="18">
        <f>I49+K48</f>
        <v>1081</v>
      </c>
      <c r="M46" s="83">
        <v>7.81</v>
      </c>
      <c r="N46" s="27">
        <f>K49+M48</f>
        <v>1436</v>
      </c>
      <c r="O46" s="84"/>
      <c r="P46" s="7" t="s">
        <v>25</v>
      </c>
      <c r="Q46" s="184" t="s">
        <v>331</v>
      </c>
      <c r="R46" s="28">
        <f>M49+Q48</f>
        <v>1436</v>
      </c>
      <c r="S46" s="20"/>
    </row>
    <row r="47" spans="1:19" ht="14.25" customHeight="1">
      <c r="A47" s="32">
        <v>9</v>
      </c>
      <c r="B47" s="74"/>
      <c r="E47" s="10"/>
      <c r="F47" s="26">
        <v>18</v>
      </c>
      <c r="G47" s="85"/>
      <c r="H47" s="35">
        <f>G48</f>
        <v>439</v>
      </c>
      <c r="I47" s="85"/>
      <c r="J47" s="35">
        <f>G49+I48</f>
        <v>700</v>
      </c>
      <c r="K47" s="14"/>
      <c r="L47" s="18">
        <f>I49+K48</f>
        <v>1081</v>
      </c>
      <c r="M47" s="14"/>
      <c r="N47" s="19">
        <f>K49+M48</f>
        <v>1436</v>
      </c>
      <c r="O47" s="14"/>
      <c r="P47" s="14"/>
      <c r="Q47" s="14"/>
      <c r="R47" s="29">
        <f>M49+Q48</f>
        <v>1436</v>
      </c>
      <c r="S47" s="20"/>
    </row>
    <row r="48" spans="1:19" ht="14.25" customHeight="1">
      <c r="A48" s="32"/>
      <c r="B48" s="131"/>
      <c r="C48" s="11" t="s">
        <v>229</v>
      </c>
      <c r="D48" s="11"/>
      <c r="E48" s="25">
        <f>R46</f>
        <v>1436</v>
      </c>
      <c r="F48" s="26">
        <v>19</v>
      </c>
      <c r="G48" s="17">
        <f>ROUNDDOWN(7.399*(23.76-(G46))^1.835,0)</f>
        <v>439</v>
      </c>
      <c r="H48" s="35">
        <f>G48</f>
        <v>439</v>
      </c>
      <c r="I48" s="17">
        <f>ROUNDDOWN(0.14354*(100*I46-220)^1.4,0)</f>
        <v>261</v>
      </c>
      <c r="J48" s="35">
        <f>G49+I48</f>
        <v>700</v>
      </c>
      <c r="K48" s="17">
        <f>ROUNDDOWN(0.8465*(100*K46-75)^1.42,0)</f>
        <v>381</v>
      </c>
      <c r="L48" s="18">
        <f>I49+K48</f>
        <v>1081</v>
      </c>
      <c r="M48" s="17">
        <f>ROUNDDOWN(51.39*(M46-1.5)^1.05,0)</f>
        <v>355</v>
      </c>
      <c r="N48" s="19">
        <f>K49+M48</f>
        <v>1436</v>
      </c>
      <c r="O48" s="14"/>
      <c r="P48" s="14"/>
      <c r="Q48" s="23">
        <v>0</v>
      </c>
      <c r="R48" s="29">
        <f>M49+Q48</f>
        <v>1436</v>
      </c>
      <c r="S48" s="20"/>
    </row>
    <row r="49" spans="1:19" ht="14.25" customHeight="1">
      <c r="A49" s="33"/>
      <c r="B49" s="76"/>
      <c r="C49" s="8"/>
      <c r="D49" s="8"/>
      <c r="E49" s="8"/>
      <c r="F49" s="10">
        <v>20</v>
      </c>
      <c r="G49" s="15">
        <f>G48</f>
        <v>439</v>
      </c>
      <c r="H49" s="36">
        <f>G48</f>
        <v>439</v>
      </c>
      <c r="I49" s="15">
        <f>G49+I48</f>
        <v>700</v>
      </c>
      <c r="J49" s="36">
        <f>G49+I48</f>
        <v>700</v>
      </c>
      <c r="K49" s="15">
        <f>I49+K48</f>
        <v>1081</v>
      </c>
      <c r="L49" s="15">
        <f>I49+K48</f>
        <v>1081</v>
      </c>
      <c r="M49" s="15">
        <f>K49+M48</f>
        <v>1436</v>
      </c>
      <c r="N49" s="9">
        <f>K49+M48</f>
        <v>1436</v>
      </c>
      <c r="O49" s="15"/>
      <c r="P49" s="15"/>
      <c r="Q49" s="24">
        <f>M49+Q48</f>
        <v>1436</v>
      </c>
      <c r="R49" s="30">
        <f>M49+Q48</f>
        <v>1436</v>
      </c>
      <c r="S49" s="20"/>
    </row>
    <row r="50" spans="1:19" ht="14.25" customHeight="1">
      <c r="A50" s="31"/>
      <c r="B50" s="73"/>
      <c r="C50" s="181">
        <v>756</v>
      </c>
      <c r="D50" s="130" t="s">
        <v>195</v>
      </c>
      <c r="E50" s="91" t="s">
        <v>508</v>
      </c>
      <c r="F50" s="10">
        <v>29</v>
      </c>
      <c r="G50" s="82">
        <v>18.1</v>
      </c>
      <c r="H50" s="34">
        <f>G52</f>
        <v>178</v>
      </c>
      <c r="I50" s="83">
        <v>3.43</v>
      </c>
      <c r="J50" s="34">
        <f>G53+I52</f>
        <v>299</v>
      </c>
      <c r="K50" s="83">
        <v>1.19</v>
      </c>
      <c r="L50" s="18">
        <f>I53+K52</f>
        <v>481</v>
      </c>
      <c r="M50" s="83">
        <v>5.74</v>
      </c>
      <c r="N50" s="27">
        <f>K53+M52</f>
        <v>715</v>
      </c>
      <c r="O50" s="84">
        <v>3</v>
      </c>
      <c r="P50" s="7" t="s">
        <v>25</v>
      </c>
      <c r="Q50" s="184" t="s">
        <v>499</v>
      </c>
      <c r="R50" s="28">
        <f>M53+Q52</f>
        <v>715</v>
      </c>
      <c r="S50" s="20"/>
    </row>
    <row r="51" spans="1:18" ht="14.25" customHeight="1">
      <c r="A51" s="32">
        <v>10</v>
      </c>
      <c r="B51" s="74"/>
      <c r="C51" s="89"/>
      <c r="D51" s="11"/>
      <c r="E51" s="91"/>
      <c r="F51" s="26">
        <v>30</v>
      </c>
      <c r="G51" s="85"/>
      <c r="H51" s="35">
        <f>G52</f>
        <v>178</v>
      </c>
      <c r="I51" s="14"/>
      <c r="J51" s="35">
        <f>G53+I52</f>
        <v>299</v>
      </c>
      <c r="K51" s="85"/>
      <c r="L51" s="18">
        <f>I53+K52</f>
        <v>481</v>
      </c>
      <c r="M51" s="14"/>
      <c r="N51" s="19">
        <f>K53+M52</f>
        <v>715</v>
      </c>
      <c r="O51" s="14"/>
      <c r="P51" s="14"/>
      <c r="Q51" s="14"/>
      <c r="R51" s="29">
        <f>M53+Q52</f>
        <v>715</v>
      </c>
    </row>
    <row r="52" spans="1:18" ht="14.25" customHeight="1">
      <c r="A52" s="32"/>
      <c r="B52" s="131"/>
      <c r="C52" s="95" t="s">
        <v>225</v>
      </c>
      <c r="D52" s="11"/>
      <c r="E52" s="25">
        <f>R50</f>
        <v>715</v>
      </c>
      <c r="F52" s="26">
        <v>31</v>
      </c>
      <c r="G52" s="17">
        <f>ROUNDDOWN(7.399*(23.76-(G50))^1.835,0)</f>
        <v>178</v>
      </c>
      <c r="H52" s="35">
        <f>G52</f>
        <v>178</v>
      </c>
      <c r="I52" s="17">
        <f>ROUNDDOWN(0.14354*(100*I50-220)^1.4,0)</f>
        <v>121</v>
      </c>
      <c r="J52" s="35">
        <f>G53+I52</f>
        <v>299</v>
      </c>
      <c r="K52" s="17">
        <f>ROUNDDOWN(0.8465*(100*K50-75)^1.42,0)</f>
        <v>182</v>
      </c>
      <c r="L52" s="18">
        <f>I53+K52</f>
        <v>481</v>
      </c>
      <c r="M52" s="17">
        <f>ROUNDDOWN(51.39*(M50-1.5)^1.05,0)</f>
        <v>234</v>
      </c>
      <c r="N52" s="19">
        <f>K53+M52</f>
        <v>715</v>
      </c>
      <c r="O52" s="14"/>
      <c r="P52" s="14"/>
      <c r="Q52" s="23">
        <v>0</v>
      </c>
      <c r="R52" s="29">
        <f>M53+Q52</f>
        <v>715</v>
      </c>
    </row>
    <row r="53" spans="1:18" ht="14.25" customHeight="1">
      <c r="A53" s="33"/>
      <c r="B53" s="76"/>
      <c r="C53" s="8"/>
      <c r="D53" s="8"/>
      <c r="E53" s="37"/>
      <c r="F53" s="10">
        <v>32</v>
      </c>
      <c r="G53" s="15">
        <f>G52</f>
        <v>178</v>
      </c>
      <c r="H53" s="36">
        <f>G52</f>
        <v>178</v>
      </c>
      <c r="I53" s="15">
        <f>G53+I52</f>
        <v>299</v>
      </c>
      <c r="J53" s="36">
        <f>G53+I52</f>
        <v>299</v>
      </c>
      <c r="K53" s="15">
        <f>I53+K52</f>
        <v>481</v>
      </c>
      <c r="L53" s="15">
        <f>I53+K52</f>
        <v>481</v>
      </c>
      <c r="M53" s="15">
        <f>K53+M52</f>
        <v>715</v>
      </c>
      <c r="N53" s="9">
        <f>K53+M52</f>
        <v>715</v>
      </c>
      <c r="O53" s="15"/>
      <c r="P53" s="15"/>
      <c r="Q53" s="24">
        <f>M53+Q52</f>
        <v>715</v>
      </c>
      <c r="R53" s="30">
        <f>M53+Q52</f>
        <v>715</v>
      </c>
    </row>
    <row r="56" spans="1:19" ht="12.75">
      <c r="A56" s="20"/>
      <c r="B56" s="20"/>
      <c r="C56" s="20"/>
      <c r="D56" s="20"/>
      <c r="E56" s="20"/>
      <c r="F56" s="20"/>
      <c r="G56" s="20"/>
      <c r="H56" s="19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15.75">
      <c r="A57" s="114"/>
      <c r="B57" s="114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19" ht="15.75">
      <c r="A58" s="114"/>
      <c r="B58" s="11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15.75">
      <c r="A59" s="114"/>
      <c r="B59" s="114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15.75">
      <c r="A61" s="6"/>
      <c r="B61" s="6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12.75">
      <c r="A62" s="115"/>
      <c r="B62" s="115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23" ht="12.75">
      <c r="A63" s="20"/>
      <c r="B63" s="20"/>
      <c r="C63" s="20"/>
      <c r="D63" s="20"/>
      <c r="E63" s="20"/>
      <c r="F63" s="20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3"/>
      <c r="V63" s="13"/>
      <c r="W63" s="13"/>
    </row>
    <row r="64" spans="1:23" ht="14.25" customHeight="1">
      <c r="A64" s="116"/>
      <c r="B64" s="117"/>
      <c r="C64" s="118"/>
      <c r="D64" s="95"/>
      <c r="E64" s="119"/>
      <c r="F64" s="20"/>
      <c r="G64" s="120"/>
      <c r="H64" s="121"/>
      <c r="I64" s="120"/>
      <c r="J64" s="121"/>
      <c r="K64" s="120"/>
      <c r="L64" s="121"/>
      <c r="M64" s="120"/>
      <c r="N64" s="121"/>
      <c r="O64" s="121"/>
      <c r="P64" s="121"/>
      <c r="Q64" s="120"/>
      <c r="R64" s="121"/>
      <c r="S64" s="121"/>
      <c r="T64" s="12"/>
      <c r="V64" s="12"/>
      <c r="W64" s="12"/>
    </row>
    <row r="65" spans="1:23" ht="12.75">
      <c r="A65" s="116"/>
      <c r="B65" s="117"/>
      <c r="C65" s="20"/>
      <c r="D65" s="20"/>
      <c r="E65" s="105"/>
      <c r="F65" s="105"/>
      <c r="G65" s="18"/>
      <c r="H65" s="19"/>
      <c r="I65" s="18"/>
      <c r="J65" s="19"/>
      <c r="K65" s="18"/>
      <c r="L65" s="19"/>
      <c r="M65" s="18"/>
      <c r="N65" s="19"/>
      <c r="O65" s="19"/>
      <c r="P65" s="19"/>
      <c r="Q65" s="18"/>
      <c r="R65" s="19"/>
      <c r="S65" s="19"/>
      <c r="T65" s="7"/>
      <c r="V65" s="7"/>
      <c r="W65" s="7"/>
    </row>
    <row r="66" spans="1:23" ht="14.25" customHeight="1">
      <c r="A66" s="20"/>
      <c r="B66" s="20"/>
      <c r="C66" s="95"/>
      <c r="D66" s="20"/>
      <c r="E66" s="96"/>
      <c r="F66" s="19"/>
      <c r="G66" s="18"/>
      <c r="H66" s="19"/>
      <c r="I66" s="18"/>
      <c r="J66" s="19"/>
      <c r="K66" s="18"/>
      <c r="L66" s="19"/>
      <c r="M66" s="18"/>
      <c r="N66" s="19"/>
      <c r="O66" s="19"/>
      <c r="P66" s="19"/>
      <c r="Q66" s="18"/>
      <c r="R66" s="19"/>
      <c r="S66" s="19"/>
      <c r="T66" s="7"/>
      <c r="V66" s="7"/>
      <c r="W66" s="7"/>
    </row>
    <row r="67" spans="1:23" ht="12.75">
      <c r="A67" s="20"/>
      <c r="B67" s="20"/>
      <c r="C67" s="20"/>
      <c r="D67" s="20"/>
      <c r="E67" s="20"/>
      <c r="F67" s="20"/>
      <c r="G67" s="18"/>
      <c r="H67" s="19"/>
      <c r="I67" s="18"/>
      <c r="J67" s="19"/>
      <c r="K67" s="18"/>
      <c r="L67" s="19"/>
      <c r="M67" s="18"/>
      <c r="N67" s="19"/>
      <c r="O67" s="19"/>
      <c r="P67" s="19"/>
      <c r="Q67" s="18"/>
      <c r="R67" s="19"/>
      <c r="S67" s="19"/>
      <c r="T67" s="19"/>
      <c r="V67" s="19"/>
      <c r="W67" s="19"/>
    </row>
    <row r="68" spans="1:23" ht="14.25" customHeight="1">
      <c r="A68" s="97"/>
      <c r="B68" s="73"/>
      <c r="C68" s="98"/>
      <c r="D68" s="95"/>
      <c r="E68" s="99"/>
      <c r="F68" s="100"/>
      <c r="G68" s="102"/>
      <c r="H68" s="35"/>
      <c r="I68" s="101"/>
      <c r="J68" s="35"/>
      <c r="K68" s="101"/>
      <c r="L68" s="18"/>
      <c r="M68" s="101"/>
      <c r="N68" s="19"/>
      <c r="O68" s="122"/>
      <c r="P68" s="19"/>
      <c r="Q68" s="104"/>
      <c r="R68" s="29"/>
      <c r="S68" s="18"/>
      <c r="T68" s="18"/>
      <c r="V68" s="18"/>
      <c r="W68" s="18"/>
    </row>
    <row r="69" spans="1:23" ht="12.75" customHeight="1">
      <c r="A69" s="97"/>
      <c r="B69" s="73"/>
      <c r="C69" s="20"/>
      <c r="D69" s="20"/>
      <c r="E69" s="105"/>
      <c r="F69" s="105"/>
      <c r="G69" s="106"/>
      <c r="H69" s="35"/>
      <c r="I69" s="18"/>
      <c r="J69" s="35"/>
      <c r="K69" s="106"/>
      <c r="L69" s="18"/>
      <c r="M69" s="18"/>
      <c r="N69" s="19"/>
      <c r="O69" s="18"/>
      <c r="P69" s="18"/>
      <c r="Q69" s="18"/>
      <c r="R69" s="29"/>
      <c r="S69" s="18"/>
      <c r="T69" s="18"/>
      <c r="U69" s="38"/>
      <c r="V69" s="18"/>
      <c r="W69" s="18"/>
    </row>
    <row r="70" spans="1:23" ht="14.25" customHeight="1">
      <c r="A70" s="97"/>
      <c r="B70" s="107"/>
      <c r="C70" s="95"/>
      <c r="D70" s="95"/>
      <c r="E70" s="108"/>
      <c r="F70" s="109"/>
      <c r="G70" s="17"/>
      <c r="H70" s="35"/>
      <c r="I70" s="17"/>
      <c r="J70" s="35"/>
      <c r="K70" s="17"/>
      <c r="L70" s="18"/>
      <c r="M70" s="17"/>
      <c r="N70" s="19"/>
      <c r="O70" s="18"/>
      <c r="P70" s="18"/>
      <c r="Q70" s="23"/>
      <c r="R70" s="29"/>
      <c r="S70" s="18"/>
      <c r="T70" s="18"/>
      <c r="V70" s="18"/>
      <c r="W70" s="18"/>
    </row>
    <row r="71" spans="1:23" ht="14.25" customHeight="1">
      <c r="A71" s="97"/>
      <c r="B71" s="73"/>
      <c r="C71" s="20"/>
      <c r="D71" s="20"/>
      <c r="E71" s="20"/>
      <c r="F71" s="105"/>
      <c r="G71" s="18"/>
      <c r="H71" s="35"/>
      <c r="I71" s="18"/>
      <c r="J71" s="35"/>
      <c r="K71" s="18"/>
      <c r="L71" s="18"/>
      <c r="M71" s="18"/>
      <c r="N71" s="19"/>
      <c r="O71" s="18"/>
      <c r="P71" s="18"/>
      <c r="Q71" s="110"/>
      <c r="R71" s="29"/>
      <c r="S71" s="18"/>
      <c r="T71" s="18"/>
      <c r="V71" s="18"/>
      <c r="W71" s="18"/>
    </row>
    <row r="72" spans="1:23" ht="14.25" customHeight="1">
      <c r="A72" s="97"/>
      <c r="B72" s="73"/>
      <c r="C72" s="98"/>
      <c r="D72" s="95"/>
      <c r="E72" s="99"/>
      <c r="F72" s="100"/>
      <c r="G72" s="102"/>
      <c r="H72" s="35"/>
      <c r="I72" s="101"/>
      <c r="J72" s="35"/>
      <c r="K72" s="101"/>
      <c r="L72" s="18"/>
      <c r="M72" s="101"/>
      <c r="N72" s="19"/>
      <c r="O72" s="122"/>
      <c r="P72" s="19"/>
      <c r="Q72" s="104"/>
      <c r="R72" s="29"/>
      <c r="S72" s="20"/>
      <c r="T72" s="20"/>
      <c r="U72" s="16"/>
      <c r="V72" s="20"/>
      <c r="W72" s="20"/>
    </row>
    <row r="73" spans="1:19" ht="12.75" customHeight="1">
      <c r="A73" s="97"/>
      <c r="B73" s="73"/>
      <c r="C73" s="20"/>
      <c r="D73" s="20"/>
      <c r="E73" s="105"/>
      <c r="F73" s="105"/>
      <c r="G73" s="106"/>
      <c r="H73" s="35"/>
      <c r="I73" s="18"/>
      <c r="J73" s="35"/>
      <c r="K73" s="106"/>
      <c r="L73" s="18"/>
      <c r="M73" s="18"/>
      <c r="N73" s="19"/>
      <c r="O73" s="18"/>
      <c r="P73" s="18"/>
      <c r="Q73" s="18"/>
      <c r="R73" s="29"/>
      <c r="S73" s="20"/>
    </row>
    <row r="74" spans="1:19" ht="14.25" customHeight="1">
      <c r="A74" s="97"/>
      <c r="B74" s="111"/>
      <c r="C74" s="95"/>
      <c r="D74" s="95"/>
      <c r="E74" s="108"/>
      <c r="F74" s="109"/>
      <c r="G74" s="17"/>
      <c r="H74" s="35"/>
      <c r="I74" s="17"/>
      <c r="J74" s="35"/>
      <c r="K74" s="17"/>
      <c r="L74" s="18"/>
      <c r="M74" s="17"/>
      <c r="N74" s="19"/>
      <c r="O74" s="18"/>
      <c r="P74" s="18"/>
      <c r="Q74" s="23"/>
      <c r="R74" s="29"/>
      <c r="S74" s="20"/>
    </row>
    <row r="75" spans="1:23" ht="14.25" customHeight="1">
      <c r="A75" s="97"/>
      <c r="B75" s="73"/>
      <c r="C75" s="20"/>
      <c r="D75" s="20"/>
      <c r="E75" s="20"/>
      <c r="F75" s="105"/>
      <c r="G75" s="18"/>
      <c r="H75" s="35"/>
      <c r="I75" s="18"/>
      <c r="J75" s="35"/>
      <c r="K75" s="18"/>
      <c r="L75" s="18"/>
      <c r="M75" s="18"/>
      <c r="N75" s="19"/>
      <c r="O75" s="18"/>
      <c r="P75" s="18"/>
      <c r="Q75" s="110"/>
      <c r="R75" s="29"/>
      <c r="S75" s="20"/>
      <c r="W75" s="22"/>
    </row>
    <row r="76" spans="1:19" ht="14.25" customHeight="1">
      <c r="A76" s="97"/>
      <c r="B76" s="73"/>
      <c r="C76" s="98"/>
      <c r="D76" s="95"/>
      <c r="E76" s="99"/>
      <c r="F76" s="100"/>
      <c r="G76" s="102"/>
      <c r="H76" s="35"/>
      <c r="I76" s="101"/>
      <c r="J76" s="35"/>
      <c r="K76" s="101"/>
      <c r="L76" s="18"/>
      <c r="M76" s="101"/>
      <c r="N76" s="19"/>
      <c r="O76" s="122"/>
      <c r="P76" s="19"/>
      <c r="Q76" s="104"/>
      <c r="R76" s="29"/>
      <c r="S76" s="20"/>
    </row>
    <row r="77" spans="1:20" ht="12.75" customHeight="1">
      <c r="A77" s="97"/>
      <c r="B77" s="73"/>
      <c r="C77" s="20"/>
      <c r="D77" s="20"/>
      <c r="E77" s="105"/>
      <c r="F77" s="105"/>
      <c r="G77" s="106"/>
      <c r="H77" s="35"/>
      <c r="I77" s="18"/>
      <c r="J77" s="35"/>
      <c r="K77" s="106"/>
      <c r="L77" s="18"/>
      <c r="M77" s="18"/>
      <c r="N77" s="19"/>
      <c r="O77" s="18"/>
      <c r="P77" s="18"/>
      <c r="Q77" s="18"/>
      <c r="R77" s="29"/>
      <c r="S77" s="20"/>
      <c r="T77" s="16"/>
    </row>
    <row r="78" spans="1:19" ht="14.25" customHeight="1">
      <c r="A78" s="97"/>
      <c r="B78" s="112"/>
      <c r="C78" s="95"/>
      <c r="D78" s="95"/>
      <c r="E78" s="108"/>
      <c r="F78" s="109"/>
      <c r="G78" s="17"/>
      <c r="H78" s="35"/>
      <c r="I78" s="17"/>
      <c r="J78" s="35"/>
      <c r="K78" s="17"/>
      <c r="L78" s="18"/>
      <c r="M78" s="17"/>
      <c r="N78" s="19"/>
      <c r="O78" s="18"/>
      <c r="P78" s="18"/>
      <c r="Q78" s="23"/>
      <c r="R78" s="29"/>
      <c r="S78" s="20"/>
    </row>
    <row r="79" spans="1:19" ht="14.25" customHeight="1">
      <c r="A79" s="97"/>
      <c r="B79" s="73"/>
      <c r="C79" s="20"/>
      <c r="D79" s="20"/>
      <c r="E79" s="20"/>
      <c r="F79" s="105"/>
      <c r="G79" s="18"/>
      <c r="H79" s="35"/>
      <c r="I79" s="18"/>
      <c r="J79" s="35"/>
      <c r="K79" s="18"/>
      <c r="L79" s="18"/>
      <c r="M79" s="18"/>
      <c r="N79" s="19"/>
      <c r="O79" s="18"/>
      <c r="P79" s="18"/>
      <c r="Q79" s="110"/>
      <c r="R79" s="29"/>
      <c r="S79" s="20"/>
    </row>
    <row r="80" spans="1:19" ht="14.25" customHeight="1">
      <c r="A80" s="97"/>
      <c r="B80" s="73"/>
      <c r="C80" s="98"/>
      <c r="D80" s="95"/>
      <c r="E80" s="99"/>
      <c r="F80" s="100"/>
      <c r="G80" s="102"/>
      <c r="H80" s="35"/>
      <c r="I80" s="101"/>
      <c r="J80" s="35"/>
      <c r="K80" s="101"/>
      <c r="L80" s="18"/>
      <c r="M80" s="101"/>
      <c r="N80" s="19"/>
      <c r="O80" s="122"/>
      <c r="P80" s="19"/>
      <c r="Q80" s="104"/>
      <c r="R80" s="29"/>
      <c r="S80" s="20"/>
    </row>
    <row r="81" spans="1:19" ht="12.75" customHeight="1">
      <c r="A81" s="97"/>
      <c r="B81" s="73"/>
      <c r="C81" s="20"/>
      <c r="D81" s="20"/>
      <c r="E81" s="105"/>
      <c r="F81" s="105"/>
      <c r="G81" s="106"/>
      <c r="H81" s="35"/>
      <c r="I81" s="18"/>
      <c r="J81" s="35"/>
      <c r="K81" s="106"/>
      <c r="L81" s="18"/>
      <c r="M81" s="18"/>
      <c r="N81" s="19"/>
      <c r="O81" s="18"/>
      <c r="P81" s="18"/>
      <c r="Q81" s="18"/>
      <c r="R81" s="29"/>
      <c r="S81" s="20"/>
    </row>
    <row r="82" spans="1:19" ht="14.25" customHeight="1">
      <c r="A82" s="97"/>
      <c r="B82" s="81"/>
      <c r="C82" s="95"/>
      <c r="D82" s="95"/>
      <c r="E82" s="108"/>
      <c r="F82" s="109"/>
      <c r="G82" s="17"/>
      <c r="H82" s="35"/>
      <c r="I82" s="17"/>
      <c r="J82" s="35"/>
      <c r="K82" s="17"/>
      <c r="L82" s="18"/>
      <c r="M82" s="17"/>
      <c r="N82" s="19"/>
      <c r="O82" s="18"/>
      <c r="P82" s="18"/>
      <c r="Q82" s="23"/>
      <c r="R82" s="29"/>
      <c r="S82" s="20"/>
    </row>
    <row r="83" spans="1:19" ht="14.25" customHeight="1">
      <c r="A83" s="97"/>
      <c r="B83" s="73"/>
      <c r="C83" s="20"/>
      <c r="D83" s="20"/>
      <c r="E83" s="20"/>
      <c r="F83" s="105"/>
      <c r="G83" s="18"/>
      <c r="H83" s="35"/>
      <c r="I83" s="18"/>
      <c r="J83" s="35"/>
      <c r="K83" s="18"/>
      <c r="L83" s="18"/>
      <c r="M83" s="18"/>
      <c r="N83" s="19"/>
      <c r="O83" s="18"/>
      <c r="P83" s="18"/>
      <c r="Q83" s="110"/>
      <c r="R83" s="29"/>
      <c r="S83" s="20"/>
    </row>
    <row r="84" spans="1:19" ht="14.25" customHeight="1">
      <c r="A84" s="97"/>
      <c r="B84" s="73"/>
      <c r="C84" s="98"/>
      <c r="D84" s="95"/>
      <c r="E84" s="99"/>
      <c r="F84" s="100"/>
      <c r="G84" s="102"/>
      <c r="H84" s="35"/>
      <c r="I84" s="101"/>
      <c r="J84" s="35"/>
      <c r="K84" s="101"/>
      <c r="L84" s="18"/>
      <c r="M84" s="101"/>
      <c r="N84" s="19"/>
      <c r="O84" s="122"/>
      <c r="P84" s="19"/>
      <c r="Q84" s="104"/>
      <c r="R84" s="29"/>
      <c r="S84" s="20"/>
    </row>
    <row r="85" spans="1:19" ht="12.75" customHeight="1">
      <c r="A85" s="97"/>
      <c r="B85" s="73"/>
      <c r="C85" s="20"/>
      <c r="D85" s="20"/>
      <c r="E85" s="105"/>
      <c r="F85" s="105"/>
      <c r="G85" s="106"/>
      <c r="H85" s="35"/>
      <c r="I85" s="18"/>
      <c r="J85" s="35"/>
      <c r="K85" s="106"/>
      <c r="L85" s="18"/>
      <c r="M85" s="18"/>
      <c r="N85" s="19"/>
      <c r="O85" s="18"/>
      <c r="P85" s="18"/>
      <c r="Q85" s="18"/>
      <c r="R85" s="29"/>
      <c r="S85" s="20"/>
    </row>
    <row r="86" spans="1:19" ht="14.25" customHeight="1">
      <c r="A86" s="97"/>
      <c r="B86" s="81"/>
      <c r="C86" s="95"/>
      <c r="D86" s="95"/>
      <c r="E86" s="108"/>
      <c r="F86" s="109"/>
      <c r="G86" s="17"/>
      <c r="H86" s="35"/>
      <c r="I86" s="17"/>
      <c r="J86" s="35"/>
      <c r="K86" s="17"/>
      <c r="L86" s="18"/>
      <c r="M86" s="17"/>
      <c r="N86" s="19"/>
      <c r="O86" s="18"/>
      <c r="P86" s="18"/>
      <c r="Q86" s="23"/>
      <c r="R86" s="29"/>
      <c r="S86" s="20"/>
    </row>
    <row r="87" spans="1:19" ht="14.25" customHeight="1">
      <c r="A87" s="97"/>
      <c r="B87" s="73"/>
      <c r="C87" s="20"/>
      <c r="D87" s="20"/>
      <c r="E87" s="20"/>
      <c r="F87" s="105"/>
      <c r="G87" s="18"/>
      <c r="H87" s="35"/>
      <c r="I87" s="18"/>
      <c r="J87" s="35"/>
      <c r="K87" s="18"/>
      <c r="L87" s="18"/>
      <c r="M87" s="18"/>
      <c r="N87" s="19"/>
      <c r="O87" s="18"/>
      <c r="P87" s="18"/>
      <c r="Q87" s="110"/>
      <c r="R87" s="29"/>
      <c r="S87" s="20"/>
    </row>
    <row r="88" spans="1:19" ht="14.25" customHeight="1">
      <c r="A88" s="97"/>
      <c r="B88" s="73"/>
      <c r="C88" s="98"/>
      <c r="D88" s="95"/>
      <c r="E88" s="99"/>
      <c r="F88" s="100"/>
      <c r="G88" s="102"/>
      <c r="H88" s="35"/>
      <c r="I88" s="101"/>
      <c r="J88" s="35"/>
      <c r="K88" s="101"/>
      <c r="L88" s="18"/>
      <c r="M88" s="101"/>
      <c r="N88" s="19"/>
      <c r="O88" s="122"/>
      <c r="P88" s="19"/>
      <c r="Q88" s="104"/>
      <c r="R88" s="29"/>
      <c r="S88" s="20"/>
    </row>
    <row r="89" spans="1:19" ht="12.75" customHeight="1">
      <c r="A89" s="97"/>
      <c r="B89" s="73"/>
      <c r="C89" s="20"/>
      <c r="D89" s="20"/>
      <c r="E89" s="105"/>
      <c r="F89" s="105"/>
      <c r="G89" s="106"/>
      <c r="H89" s="35"/>
      <c r="I89" s="18"/>
      <c r="J89" s="35"/>
      <c r="K89" s="106"/>
      <c r="L89" s="18"/>
      <c r="M89" s="18"/>
      <c r="N89" s="19"/>
      <c r="O89" s="18"/>
      <c r="P89" s="18"/>
      <c r="Q89" s="18"/>
      <c r="R89" s="29"/>
      <c r="S89" s="20"/>
    </row>
    <row r="90" spans="1:19" ht="14.25" customHeight="1">
      <c r="A90" s="97"/>
      <c r="B90" s="81"/>
      <c r="C90" s="95"/>
      <c r="D90" s="95"/>
      <c r="E90" s="108"/>
      <c r="F90" s="109"/>
      <c r="G90" s="17"/>
      <c r="H90" s="35"/>
      <c r="I90" s="17"/>
      <c r="J90" s="35"/>
      <c r="K90" s="17"/>
      <c r="L90" s="18"/>
      <c r="M90" s="17"/>
      <c r="N90" s="19"/>
      <c r="O90" s="18"/>
      <c r="P90" s="18"/>
      <c r="Q90" s="23"/>
      <c r="R90" s="29"/>
      <c r="S90" s="20"/>
    </row>
    <row r="91" spans="1:19" ht="14.25" customHeight="1">
      <c r="A91" s="97"/>
      <c r="B91" s="81"/>
      <c r="C91" s="20"/>
      <c r="D91" s="20"/>
      <c r="E91" s="20"/>
      <c r="F91" s="105"/>
      <c r="G91" s="18"/>
      <c r="H91" s="35"/>
      <c r="I91" s="18"/>
      <c r="J91" s="35"/>
      <c r="K91" s="18"/>
      <c r="L91" s="18"/>
      <c r="M91" s="18"/>
      <c r="N91" s="19"/>
      <c r="O91" s="18"/>
      <c r="P91" s="18"/>
      <c r="Q91" s="110"/>
      <c r="R91" s="29"/>
      <c r="S91" s="20"/>
    </row>
    <row r="92" spans="1:19" ht="14.25" customHeight="1">
      <c r="A92" s="97"/>
      <c r="B92" s="81"/>
      <c r="C92" s="98"/>
      <c r="D92" s="95"/>
      <c r="E92" s="99"/>
      <c r="F92" s="100"/>
      <c r="G92" s="102"/>
      <c r="H92" s="35"/>
      <c r="I92" s="101"/>
      <c r="J92" s="35"/>
      <c r="K92" s="101"/>
      <c r="L92" s="18"/>
      <c r="M92" s="101"/>
      <c r="N92" s="19"/>
      <c r="O92" s="122"/>
      <c r="P92" s="19"/>
      <c r="Q92" s="104"/>
      <c r="R92" s="29"/>
      <c r="S92" s="20"/>
    </row>
    <row r="93" spans="1:19" ht="12.75" customHeight="1">
      <c r="A93" s="97"/>
      <c r="B93" s="81"/>
      <c r="C93" s="20"/>
      <c r="D93" s="20"/>
      <c r="E93" s="105"/>
      <c r="F93" s="105"/>
      <c r="G93" s="106"/>
      <c r="H93" s="35"/>
      <c r="I93" s="18"/>
      <c r="J93" s="35"/>
      <c r="K93" s="106"/>
      <c r="L93" s="18"/>
      <c r="M93" s="18"/>
      <c r="N93" s="19"/>
      <c r="O93" s="18"/>
      <c r="P93" s="18"/>
      <c r="Q93" s="18"/>
      <c r="R93" s="29"/>
      <c r="S93" s="20"/>
    </row>
    <row r="94" spans="1:19" ht="14.25" customHeight="1">
      <c r="A94" s="97"/>
      <c r="B94" s="81"/>
      <c r="C94" s="95"/>
      <c r="D94" s="95"/>
      <c r="E94" s="108"/>
      <c r="F94" s="109"/>
      <c r="G94" s="17"/>
      <c r="H94" s="35"/>
      <c r="I94" s="17"/>
      <c r="J94" s="35"/>
      <c r="K94" s="17"/>
      <c r="L94" s="18"/>
      <c r="M94" s="17"/>
      <c r="N94" s="19"/>
      <c r="O94" s="18"/>
      <c r="P94" s="18"/>
      <c r="Q94" s="23"/>
      <c r="R94" s="29"/>
      <c r="S94" s="20"/>
    </row>
    <row r="95" spans="1:19" ht="14.25" customHeight="1">
      <c r="A95" s="97"/>
      <c r="B95" s="73"/>
      <c r="C95" s="20"/>
      <c r="D95" s="20"/>
      <c r="E95" s="20"/>
      <c r="F95" s="105"/>
      <c r="G95" s="18"/>
      <c r="H95" s="35"/>
      <c r="I95" s="18"/>
      <c r="J95" s="35"/>
      <c r="K95" s="18"/>
      <c r="L95" s="18"/>
      <c r="M95" s="18"/>
      <c r="N95" s="19"/>
      <c r="O95" s="18"/>
      <c r="P95" s="18"/>
      <c r="Q95" s="110"/>
      <c r="R95" s="29"/>
      <c r="S95" s="20"/>
    </row>
    <row r="96" spans="1:19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</sheetData>
  <sheetProtection/>
  <dataValidations count="1">
    <dataValidation allowBlank="1" showInputMessage="1" showErrorMessage="1" promptTitle="Points" prompt="look up points&#10;on sheet2" sqref="G94 G40 G44 G48 G52"/>
  </dataValidations>
  <printOptions/>
  <pageMargins left="0.2755905511811024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2"/>
  <sheetViews>
    <sheetView zoomScale="140" zoomScaleNormal="140" zoomScalePageLayoutView="0" workbookViewId="0" topLeftCell="A73">
      <selection activeCell="A86" sqref="A86:R89"/>
    </sheetView>
  </sheetViews>
  <sheetFormatPr defaultColWidth="9.140625" defaultRowHeight="12.75"/>
  <cols>
    <col min="1" max="2" width="7.7109375" style="0" customWidth="1"/>
    <col min="3" max="3" width="4.7109375" style="0" customWidth="1"/>
    <col min="4" max="4" width="19.7109375" style="0" customWidth="1"/>
    <col min="5" max="5" width="13.8515625" style="0" customWidth="1"/>
    <col min="6" max="6" width="0.85546875" style="0" customWidth="1"/>
    <col min="7" max="7" width="7.7109375" style="0" customWidth="1"/>
    <col min="8" max="8" width="0.85546875" style="0" customWidth="1"/>
    <col min="9" max="9" width="7.7109375" style="0" customWidth="1"/>
    <col min="10" max="10" width="0.85546875" style="0" customWidth="1"/>
    <col min="11" max="11" width="7.7109375" style="0" customWidth="1"/>
    <col min="12" max="12" width="0.85546875" style="0" customWidth="1"/>
    <col min="13" max="13" width="7.7109375" style="0" customWidth="1"/>
    <col min="14" max="14" width="0.85546875" style="0" customWidth="1"/>
    <col min="15" max="15" width="2.57421875" style="0" customWidth="1"/>
    <col min="16" max="16" width="0.71875" style="0" customWidth="1"/>
    <col min="17" max="17" width="5.421875" style="0" customWidth="1"/>
    <col min="18" max="18" width="0.85546875" style="0" customWidth="1"/>
    <col min="19" max="19" width="9.7109375" style="0" customWidth="1"/>
    <col min="20" max="20" width="0.85546875" style="0" customWidth="1"/>
    <col min="21" max="21" width="9.7109375" style="0" customWidth="1"/>
    <col min="22" max="22" width="0.85546875" style="0" customWidth="1"/>
    <col min="23" max="23" width="9.7109375" style="0" customWidth="1"/>
    <col min="24" max="24" width="0.85546875" style="0" customWidth="1"/>
    <col min="25" max="25" width="9.7109375" style="0" customWidth="1"/>
    <col min="26" max="26" width="0.85546875" style="0" customWidth="1"/>
    <col min="28" max="28" width="0.85546875" style="0" customWidth="1"/>
  </cols>
  <sheetData>
    <row r="1" spans="1:2" ht="15.75">
      <c r="A1" s="1" t="s">
        <v>30</v>
      </c>
      <c r="B1" s="1"/>
    </row>
    <row r="2" spans="1:2" ht="15.75">
      <c r="A2" s="1" t="s">
        <v>31</v>
      </c>
      <c r="B2" s="1"/>
    </row>
    <row r="3" spans="1:2" ht="15.75">
      <c r="A3" s="1" t="s">
        <v>120</v>
      </c>
      <c r="B3" s="1"/>
    </row>
    <row r="4" ht="10.5" customHeight="1"/>
    <row r="5" spans="5:9" ht="13.5" customHeight="1">
      <c r="E5" s="204" t="s">
        <v>72</v>
      </c>
      <c r="G5" s="147">
        <v>3122</v>
      </c>
      <c r="I5" s="59" t="s">
        <v>96</v>
      </c>
    </row>
    <row r="6" spans="1:9" ht="15.75">
      <c r="A6" s="6" t="s">
        <v>33</v>
      </c>
      <c r="B6" s="6"/>
      <c r="E6" s="151" t="s">
        <v>0</v>
      </c>
      <c r="G6" s="151">
        <v>3122</v>
      </c>
      <c r="H6" s="41"/>
      <c r="I6" s="173" t="s">
        <v>96</v>
      </c>
    </row>
    <row r="7" spans="1:2" ht="12.75">
      <c r="A7" s="41" t="s">
        <v>29</v>
      </c>
      <c r="B7" s="41"/>
    </row>
    <row r="8" spans="7:23" ht="13.5" customHeight="1">
      <c r="G8" s="13" t="s">
        <v>16</v>
      </c>
      <c r="H8" s="13"/>
      <c r="I8" s="13" t="s">
        <v>14</v>
      </c>
      <c r="J8" s="13"/>
      <c r="K8" s="13" t="s">
        <v>17</v>
      </c>
      <c r="L8" s="42"/>
      <c r="M8" s="13" t="s">
        <v>18</v>
      </c>
      <c r="N8" s="13"/>
      <c r="O8" s="13"/>
      <c r="P8" s="13"/>
      <c r="Q8" s="13" t="s">
        <v>15</v>
      </c>
      <c r="R8" s="13"/>
      <c r="S8" s="13"/>
      <c r="T8" s="13"/>
      <c r="V8" s="13"/>
      <c r="W8" s="13"/>
    </row>
    <row r="9" spans="1:23" ht="14.25" customHeight="1">
      <c r="A9" s="13" t="s">
        <v>1</v>
      </c>
      <c r="C9" s="62" t="s">
        <v>21</v>
      </c>
      <c r="D9" s="11" t="s">
        <v>9</v>
      </c>
      <c r="E9" s="60" t="s">
        <v>20</v>
      </c>
      <c r="G9" s="21" t="s">
        <v>22</v>
      </c>
      <c r="H9" s="12"/>
      <c r="I9" s="21" t="s">
        <v>23</v>
      </c>
      <c r="J9" s="12"/>
      <c r="K9" s="21" t="s">
        <v>23</v>
      </c>
      <c r="L9" s="45"/>
      <c r="M9" s="21" t="s">
        <v>24</v>
      </c>
      <c r="N9" s="12"/>
      <c r="O9" s="12"/>
      <c r="P9" s="12"/>
      <c r="Q9" s="21" t="s">
        <v>22</v>
      </c>
      <c r="R9" s="12"/>
      <c r="S9" s="12"/>
      <c r="T9" s="12"/>
      <c r="V9" s="12"/>
      <c r="W9" s="12"/>
    </row>
    <row r="10" spans="1:23" ht="12.75">
      <c r="A10" s="13" t="s">
        <v>2</v>
      </c>
      <c r="B10" s="58" t="s">
        <v>37</v>
      </c>
      <c r="E10" s="10"/>
      <c r="F10" s="10"/>
      <c r="G10" s="14" t="s">
        <v>11</v>
      </c>
      <c r="H10" s="7"/>
      <c r="I10" s="14"/>
      <c r="J10" s="7"/>
      <c r="K10" s="14" t="s">
        <v>11</v>
      </c>
      <c r="L10" s="48"/>
      <c r="M10" s="14"/>
      <c r="N10" s="7"/>
      <c r="O10" s="7"/>
      <c r="P10" s="7"/>
      <c r="Q10" s="14"/>
      <c r="R10" s="7"/>
      <c r="S10" s="7"/>
      <c r="T10" s="7"/>
      <c r="V10" s="7"/>
      <c r="W10" s="7"/>
    </row>
    <row r="11" spans="2:23" ht="14.25" customHeight="1">
      <c r="B11" s="58" t="s">
        <v>2</v>
      </c>
      <c r="C11" s="11" t="s">
        <v>10</v>
      </c>
      <c r="E11" s="61" t="s">
        <v>19</v>
      </c>
      <c r="F11" s="7"/>
      <c r="G11" s="14" t="s">
        <v>12</v>
      </c>
      <c r="H11" s="7"/>
      <c r="I11" s="14" t="s">
        <v>12</v>
      </c>
      <c r="J11" s="7"/>
      <c r="K11" s="14" t="s">
        <v>12</v>
      </c>
      <c r="L11" s="48"/>
      <c r="M11" s="14" t="s">
        <v>12</v>
      </c>
      <c r="N11" s="7"/>
      <c r="O11" s="7"/>
      <c r="P11" s="7"/>
      <c r="Q11" s="14" t="s">
        <v>12</v>
      </c>
      <c r="R11" s="7"/>
      <c r="S11" s="7"/>
      <c r="T11" s="7"/>
      <c r="V11" s="7"/>
      <c r="W11" s="7"/>
    </row>
    <row r="12" spans="1:23" ht="12.75">
      <c r="A12" s="8"/>
      <c r="B12" s="8"/>
      <c r="C12" s="8"/>
      <c r="D12" s="8"/>
      <c r="E12" s="8"/>
      <c r="F12" s="8"/>
      <c r="G12" s="15" t="s">
        <v>13</v>
      </c>
      <c r="H12" s="9"/>
      <c r="I12" s="15" t="s">
        <v>13</v>
      </c>
      <c r="J12" s="9"/>
      <c r="K12" s="15" t="s">
        <v>13</v>
      </c>
      <c r="L12" s="50"/>
      <c r="M12" s="15" t="s">
        <v>13</v>
      </c>
      <c r="N12" s="9"/>
      <c r="O12" s="9"/>
      <c r="P12" s="9"/>
      <c r="Q12" s="15" t="s">
        <v>13</v>
      </c>
      <c r="R12" s="9"/>
      <c r="S12" s="19"/>
      <c r="T12" s="19"/>
      <c r="V12" s="19"/>
      <c r="W12" s="19"/>
    </row>
    <row r="13" spans="1:23" ht="14.25" customHeight="1">
      <c r="A13" s="205" t="s">
        <v>509</v>
      </c>
      <c r="B13" s="206" t="s">
        <v>0</v>
      </c>
      <c r="C13" s="180">
        <v>791</v>
      </c>
      <c r="D13" s="155" t="s">
        <v>236</v>
      </c>
      <c r="E13" s="136" t="s">
        <v>539</v>
      </c>
      <c r="F13" s="26">
        <v>9</v>
      </c>
      <c r="G13" s="102">
        <v>12.9</v>
      </c>
      <c r="H13" s="35">
        <f>G15</f>
        <v>686</v>
      </c>
      <c r="I13" s="101">
        <v>10.27</v>
      </c>
      <c r="J13" s="34">
        <f>G16+I15</f>
        <v>1233</v>
      </c>
      <c r="K13" s="101">
        <v>5.1</v>
      </c>
      <c r="L13" s="34">
        <f>I16+K15</f>
        <v>1820</v>
      </c>
      <c r="M13" s="101">
        <v>1.67</v>
      </c>
      <c r="N13" s="27">
        <f>K16+M15</f>
        <v>2638</v>
      </c>
      <c r="O13" s="122">
        <v>2</v>
      </c>
      <c r="P13" s="19" t="s">
        <v>25</v>
      </c>
      <c r="Q13" s="172" t="s">
        <v>534</v>
      </c>
      <c r="R13" s="28">
        <f>M16+Q15</f>
        <v>3284</v>
      </c>
      <c r="S13" s="18"/>
      <c r="T13" s="18"/>
      <c r="V13" s="18"/>
      <c r="W13" s="18"/>
    </row>
    <row r="14" spans="1:23" ht="12.75" customHeight="1">
      <c r="A14" s="32">
        <v>1</v>
      </c>
      <c r="B14" s="159"/>
      <c r="E14" s="10"/>
      <c r="F14" s="26">
        <v>10</v>
      </c>
      <c r="G14" s="85"/>
      <c r="H14" s="35">
        <f>G15</f>
        <v>686</v>
      </c>
      <c r="I14" s="14"/>
      <c r="J14" s="35">
        <f>G16+I15</f>
        <v>1233</v>
      </c>
      <c r="K14" s="85"/>
      <c r="L14" s="35">
        <f>I16+K15</f>
        <v>1820</v>
      </c>
      <c r="M14" s="14"/>
      <c r="N14" s="19">
        <f>K16+M15</f>
        <v>2638</v>
      </c>
      <c r="O14" s="14"/>
      <c r="P14" s="14"/>
      <c r="Q14" s="14"/>
      <c r="R14" s="29">
        <f>M16+Q15</f>
        <v>3284</v>
      </c>
      <c r="S14" s="18"/>
      <c r="T14" s="89"/>
      <c r="U14" s="38"/>
      <c r="V14" s="18"/>
      <c r="W14" s="18"/>
    </row>
    <row r="15" spans="1:23" ht="14.25" customHeight="1">
      <c r="A15" s="32"/>
      <c r="B15" s="92">
        <v>1</v>
      </c>
      <c r="C15" s="11" t="s">
        <v>178</v>
      </c>
      <c r="D15" s="11"/>
      <c r="E15" s="25">
        <f>R13</f>
        <v>3284</v>
      </c>
      <c r="F15" s="10">
        <v>11</v>
      </c>
      <c r="G15" s="39">
        <f>IF(G13=0,0,VLOOKUP(G13,Tables!$A$3:$B$152,2,TRUE))</f>
        <v>686</v>
      </c>
      <c r="H15" s="35">
        <f>G15</f>
        <v>686</v>
      </c>
      <c r="I15" s="17">
        <f>ROUNDDOWN(56.0211*(I13-1.5)^1.05,0)</f>
        <v>547</v>
      </c>
      <c r="J15" s="35">
        <f>G16+I15</f>
        <v>1233</v>
      </c>
      <c r="K15" s="17">
        <f>ROUNDDOWN(0.188807*(100*K13-210)^1.41,0)</f>
        <v>587</v>
      </c>
      <c r="L15" s="35">
        <f>I16+K15</f>
        <v>1820</v>
      </c>
      <c r="M15" s="17">
        <f>ROUNDDOWN(1.84523*(100*M13-75)^1.348,0)</f>
        <v>818</v>
      </c>
      <c r="N15" s="19">
        <f>K16+M15</f>
        <v>2638</v>
      </c>
      <c r="O15" s="14"/>
      <c r="P15" s="14"/>
      <c r="Q15" s="23">
        <f>IF(O13+Q13=0,0,TRUNC(0.11193*((254-(O13*60+Q13))^1.88)))</f>
        <v>646</v>
      </c>
      <c r="R15" s="29">
        <f>M16+Q15</f>
        <v>3284</v>
      </c>
      <c r="S15" s="18"/>
      <c r="T15" s="18"/>
      <c r="V15" s="18"/>
      <c r="W15" s="18"/>
    </row>
    <row r="16" spans="1:23" ht="14.25" customHeight="1">
      <c r="A16" s="33"/>
      <c r="B16" s="171"/>
      <c r="C16" s="8"/>
      <c r="D16" s="8"/>
      <c r="E16" s="8"/>
      <c r="F16" s="26">
        <v>12</v>
      </c>
      <c r="G16" s="40">
        <f>G15</f>
        <v>686</v>
      </c>
      <c r="H16" s="36">
        <f>G15</f>
        <v>686</v>
      </c>
      <c r="I16" s="15">
        <f>G16+I15</f>
        <v>1233</v>
      </c>
      <c r="J16" s="35">
        <f>G16+I15</f>
        <v>1233</v>
      </c>
      <c r="K16" s="24">
        <f>I16+K15</f>
        <v>1820</v>
      </c>
      <c r="L16" s="35">
        <f>I16+K15</f>
        <v>1820</v>
      </c>
      <c r="M16" s="15">
        <f>K16+M15</f>
        <v>2638</v>
      </c>
      <c r="N16" s="19">
        <f>K16+M15</f>
        <v>2638</v>
      </c>
      <c r="O16" s="15"/>
      <c r="P16" s="15"/>
      <c r="Q16" s="24">
        <f>M16+Q15</f>
        <v>3284</v>
      </c>
      <c r="R16" s="29">
        <f>M16+Q15</f>
        <v>3284</v>
      </c>
      <c r="S16" s="18"/>
      <c r="T16" s="18"/>
      <c r="V16" s="18"/>
      <c r="W16" s="18"/>
    </row>
    <row r="17" spans="1:23" ht="14.25" customHeight="1">
      <c r="A17" s="31"/>
      <c r="B17" s="73"/>
      <c r="C17" s="180">
        <v>803</v>
      </c>
      <c r="D17" s="155" t="s">
        <v>247</v>
      </c>
      <c r="E17" s="136" t="s">
        <v>436</v>
      </c>
      <c r="F17" s="26">
        <v>57</v>
      </c>
      <c r="G17" s="102">
        <v>12.2</v>
      </c>
      <c r="H17" s="34">
        <f>G19</f>
        <v>773</v>
      </c>
      <c r="I17" s="101">
        <v>11.11</v>
      </c>
      <c r="J17" s="34">
        <f>G20+I19</f>
        <v>1375</v>
      </c>
      <c r="K17" s="101">
        <v>4.8</v>
      </c>
      <c r="L17" s="34">
        <f>I20+K19</f>
        <v>1881</v>
      </c>
      <c r="M17" s="101">
        <v>1.55</v>
      </c>
      <c r="N17" s="27">
        <f>K20+M19</f>
        <v>2559</v>
      </c>
      <c r="O17" s="122">
        <v>2</v>
      </c>
      <c r="P17" s="19" t="s">
        <v>25</v>
      </c>
      <c r="Q17" s="172" t="s">
        <v>535</v>
      </c>
      <c r="R17" s="28">
        <f>M20+Q19</f>
        <v>3114</v>
      </c>
      <c r="T17" s="20"/>
      <c r="U17" s="16"/>
      <c r="V17" s="20"/>
      <c r="W17" s="20"/>
    </row>
    <row r="18" spans="1:18" ht="12.75" customHeight="1">
      <c r="A18" s="32">
        <v>2</v>
      </c>
      <c r="B18" s="74"/>
      <c r="E18" s="10"/>
      <c r="F18" s="26">
        <v>58</v>
      </c>
      <c r="G18" s="85"/>
      <c r="H18" s="35">
        <f>G19</f>
        <v>773</v>
      </c>
      <c r="I18" s="14"/>
      <c r="J18" s="35">
        <f>G20+I19</f>
        <v>1375</v>
      </c>
      <c r="K18" s="85"/>
      <c r="L18" s="35">
        <f>I20+K19</f>
        <v>1881</v>
      </c>
      <c r="M18" s="14"/>
      <c r="N18" s="19">
        <f>K20+M19</f>
        <v>2559</v>
      </c>
      <c r="O18" s="14"/>
      <c r="P18" s="14"/>
      <c r="Q18" s="14"/>
      <c r="R18" s="29">
        <f>M20+Q19</f>
        <v>3114</v>
      </c>
    </row>
    <row r="19" spans="1:21" ht="14.25" customHeight="1">
      <c r="A19" s="32"/>
      <c r="B19" s="175"/>
      <c r="C19" s="11" t="s">
        <v>251</v>
      </c>
      <c r="D19" s="11"/>
      <c r="E19" s="25">
        <f>R17</f>
        <v>3114</v>
      </c>
      <c r="F19" s="10">
        <v>59</v>
      </c>
      <c r="G19" s="39">
        <f>IF(G17=0,0,VLOOKUP(G17,Tables!$A$3:$B$152,2,TRUE))</f>
        <v>773</v>
      </c>
      <c r="H19" s="35">
        <f>G19</f>
        <v>773</v>
      </c>
      <c r="I19" s="17">
        <f>ROUNDDOWN(56.0211*(I17-1.5)^1.05,0)</f>
        <v>602</v>
      </c>
      <c r="J19" s="35">
        <f>G20+I19</f>
        <v>1375</v>
      </c>
      <c r="K19" s="17">
        <f>ROUNDDOWN(0.188807*(100*K17-210)^1.41,0)</f>
        <v>506</v>
      </c>
      <c r="L19" s="35">
        <f>I20+K19</f>
        <v>1881</v>
      </c>
      <c r="M19" s="17">
        <f>ROUNDDOWN(1.84523*(100*M17-75)^1.348,0)</f>
        <v>678</v>
      </c>
      <c r="N19" s="19">
        <f>K20+M19</f>
        <v>2559</v>
      </c>
      <c r="O19" s="14"/>
      <c r="P19" s="14"/>
      <c r="Q19" s="23">
        <f>IF(O17+Q17=0,0,TRUNC(0.11193*((254-(O17*60+Q17))^1.88)))</f>
        <v>555</v>
      </c>
      <c r="R19" s="29">
        <f>M20+Q19</f>
        <v>3114</v>
      </c>
      <c r="U19" s="2"/>
    </row>
    <row r="20" spans="1:23" ht="14.25" customHeight="1">
      <c r="A20" s="33"/>
      <c r="B20" s="76"/>
      <c r="C20" s="8"/>
      <c r="D20" s="8"/>
      <c r="E20" s="8"/>
      <c r="F20" s="26">
        <v>60</v>
      </c>
      <c r="G20" s="40">
        <f>G19</f>
        <v>773</v>
      </c>
      <c r="H20" s="36">
        <f>G19</f>
        <v>773</v>
      </c>
      <c r="I20" s="15">
        <f>G20+I19</f>
        <v>1375</v>
      </c>
      <c r="J20" s="35">
        <f>G20+I19</f>
        <v>1375</v>
      </c>
      <c r="K20" s="24">
        <f>I20+K19</f>
        <v>1881</v>
      </c>
      <c r="L20" s="35">
        <f>I20+K19</f>
        <v>1881</v>
      </c>
      <c r="M20" s="15">
        <f>K20+M19</f>
        <v>2559</v>
      </c>
      <c r="N20" s="19">
        <f>K20+M19</f>
        <v>2559</v>
      </c>
      <c r="O20" s="15"/>
      <c r="P20" s="15"/>
      <c r="Q20" s="24">
        <f>M20+Q19</f>
        <v>3114</v>
      </c>
      <c r="R20" s="29">
        <f>M20+Q19</f>
        <v>3114</v>
      </c>
      <c r="W20" s="22"/>
    </row>
    <row r="21" spans="1:19" ht="14.25" customHeight="1">
      <c r="A21" s="31"/>
      <c r="B21" s="73"/>
      <c r="C21" s="180">
        <v>801</v>
      </c>
      <c r="D21" s="155" t="s">
        <v>245</v>
      </c>
      <c r="E21" s="136" t="s">
        <v>540</v>
      </c>
      <c r="F21" s="26">
        <v>49</v>
      </c>
      <c r="G21" s="102">
        <v>12.2</v>
      </c>
      <c r="H21" s="34">
        <f>G23</f>
        <v>773</v>
      </c>
      <c r="I21" s="101">
        <v>7.37</v>
      </c>
      <c r="J21" s="34">
        <f>G24+I23</f>
        <v>1132</v>
      </c>
      <c r="K21" s="101">
        <v>4.82</v>
      </c>
      <c r="L21" s="34">
        <f>I24+K23</f>
        <v>1643</v>
      </c>
      <c r="M21" s="101">
        <v>1.49</v>
      </c>
      <c r="N21" s="27">
        <f>K24+M23</f>
        <v>2253</v>
      </c>
      <c r="O21" s="122">
        <v>2</v>
      </c>
      <c r="P21" s="19" t="s">
        <v>25</v>
      </c>
      <c r="Q21" s="172" t="s">
        <v>536</v>
      </c>
      <c r="R21" s="28">
        <f>M24+Q23</f>
        <v>2720</v>
      </c>
      <c r="S21" s="20"/>
    </row>
    <row r="22" spans="1:20" ht="12.75" customHeight="1">
      <c r="A22" s="32">
        <v>3</v>
      </c>
      <c r="B22" s="74"/>
      <c r="E22" s="10"/>
      <c r="F22" s="10">
        <v>50</v>
      </c>
      <c r="G22" s="85"/>
      <c r="H22" s="35">
        <f>G23</f>
        <v>773</v>
      </c>
      <c r="I22" s="14"/>
      <c r="J22" s="35">
        <f>G24+I23</f>
        <v>1132</v>
      </c>
      <c r="K22" s="85"/>
      <c r="L22" s="35">
        <f>I24+K23</f>
        <v>1643</v>
      </c>
      <c r="M22" s="14"/>
      <c r="N22" s="19">
        <f>K24+M23</f>
        <v>2253</v>
      </c>
      <c r="O22" s="14"/>
      <c r="P22" s="14"/>
      <c r="Q22" s="14"/>
      <c r="R22" s="29">
        <f>M24+Q23</f>
        <v>2720</v>
      </c>
      <c r="T22" s="16"/>
    </row>
    <row r="23" spans="1:18" ht="14.25" customHeight="1">
      <c r="A23" s="32"/>
      <c r="B23" s="77">
        <v>2</v>
      </c>
      <c r="C23" s="11" t="s">
        <v>86</v>
      </c>
      <c r="D23" s="11"/>
      <c r="E23" s="25">
        <f>R21</f>
        <v>2720</v>
      </c>
      <c r="F23" s="26">
        <v>51</v>
      </c>
      <c r="G23" s="39">
        <f>IF(G21=0,0,VLOOKUP(G21,Tables!$A$3:$B$152,2,TRUE))</f>
        <v>773</v>
      </c>
      <c r="H23" s="35">
        <f>G23</f>
        <v>773</v>
      </c>
      <c r="I23" s="17">
        <f>ROUNDDOWN(56.0211*(I21-1.5)^1.05,0)</f>
        <v>359</v>
      </c>
      <c r="J23" s="35">
        <f>G24+I23</f>
        <v>1132</v>
      </c>
      <c r="K23" s="17">
        <f>ROUNDDOWN(0.188807*(100*K21-210)^1.41,0)</f>
        <v>511</v>
      </c>
      <c r="L23" s="35">
        <f>I24+K23</f>
        <v>1643</v>
      </c>
      <c r="M23" s="17">
        <f>ROUNDDOWN(1.84523*(100*M21-75)^1.348,0)</f>
        <v>610</v>
      </c>
      <c r="N23" s="19">
        <f>K24+M23</f>
        <v>2253</v>
      </c>
      <c r="O23" s="14"/>
      <c r="P23" s="14"/>
      <c r="Q23" s="23">
        <f>IF(O21+Q21=0,0,TRUNC(0.11193*((254-(O21*60+Q21))^1.88)))</f>
        <v>467</v>
      </c>
      <c r="R23" s="29">
        <f>M24+Q23</f>
        <v>2720</v>
      </c>
    </row>
    <row r="24" spans="1:18" ht="14.25" customHeight="1">
      <c r="A24" s="33"/>
      <c r="B24" s="76"/>
      <c r="C24" s="8"/>
      <c r="D24" s="8"/>
      <c r="E24" s="8"/>
      <c r="F24" s="26">
        <v>52</v>
      </c>
      <c r="G24" s="40">
        <f>G23</f>
        <v>773</v>
      </c>
      <c r="H24" s="36">
        <f>G23</f>
        <v>773</v>
      </c>
      <c r="I24" s="15">
        <f>G24+I23</f>
        <v>1132</v>
      </c>
      <c r="J24" s="35">
        <f>G24+I23</f>
        <v>1132</v>
      </c>
      <c r="K24" s="24">
        <f>I24+K23</f>
        <v>1643</v>
      </c>
      <c r="L24" s="35">
        <f>I24+K23</f>
        <v>1643</v>
      </c>
      <c r="M24" s="15">
        <f>K24+M23</f>
        <v>2253</v>
      </c>
      <c r="N24" s="19">
        <f>K24+M23</f>
        <v>2253</v>
      </c>
      <c r="O24" s="15"/>
      <c r="P24" s="15"/>
      <c r="Q24" s="24">
        <f>M24+Q23</f>
        <v>2720</v>
      </c>
      <c r="R24" s="29">
        <f>M24+Q23</f>
        <v>2720</v>
      </c>
    </row>
    <row r="25" spans="1:19" ht="14.25" customHeight="1">
      <c r="A25" s="31"/>
      <c r="B25" s="73"/>
      <c r="C25" s="180">
        <v>799</v>
      </c>
      <c r="D25" s="155" t="s">
        <v>243</v>
      </c>
      <c r="E25" s="136" t="s">
        <v>541</v>
      </c>
      <c r="F25" s="10">
        <v>41</v>
      </c>
      <c r="G25" s="102">
        <v>12.3</v>
      </c>
      <c r="H25" s="34">
        <f>G27</f>
        <v>760</v>
      </c>
      <c r="I25" s="101">
        <v>6.88</v>
      </c>
      <c r="J25" s="34">
        <f>G28+I27</f>
        <v>1087</v>
      </c>
      <c r="K25" s="101">
        <v>4.77</v>
      </c>
      <c r="L25" s="34">
        <f>I28+K27</f>
        <v>1585</v>
      </c>
      <c r="M25" s="101">
        <v>1.34</v>
      </c>
      <c r="N25" s="27">
        <f>K28+M27</f>
        <v>2034</v>
      </c>
      <c r="O25" s="122">
        <v>2</v>
      </c>
      <c r="P25" s="19" t="s">
        <v>25</v>
      </c>
      <c r="Q25" s="172" t="s">
        <v>534</v>
      </c>
      <c r="R25" s="28">
        <f>M28+Q27</f>
        <v>2680</v>
      </c>
      <c r="S25" s="20"/>
    </row>
    <row r="26" spans="1:19" ht="12.75" customHeight="1">
      <c r="A26" s="32">
        <v>4</v>
      </c>
      <c r="B26" s="74"/>
      <c r="E26" s="10"/>
      <c r="F26" s="26">
        <v>42</v>
      </c>
      <c r="G26" s="85"/>
      <c r="H26" s="35">
        <f>G27</f>
        <v>760</v>
      </c>
      <c r="I26" s="14"/>
      <c r="J26" s="35">
        <f>G28+I27</f>
        <v>1087</v>
      </c>
      <c r="K26" s="85"/>
      <c r="L26" s="35">
        <f>I28+K27</f>
        <v>1585</v>
      </c>
      <c r="M26" s="14"/>
      <c r="N26" s="19">
        <f>K28+M27</f>
        <v>2034</v>
      </c>
      <c r="O26" s="14"/>
      <c r="P26" s="14"/>
      <c r="Q26" s="14"/>
      <c r="R26" s="29">
        <f>M28+Q27</f>
        <v>2680</v>
      </c>
      <c r="S26" s="20"/>
    </row>
    <row r="27" spans="1:19" ht="14.25" customHeight="1">
      <c r="A27" s="32"/>
      <c r="B27" s="176">
        <v>3</v>
      </c>
      <c r="C27" s="95" t="s">
        <v>225</v>
      </c>
      <c r="D27" s="11"/>
      <c r="E27" s="25">
        <f>R25</f>
        <v>2680</v>
      </c>
      <c r="F27" s="26">
        <v>43</v>
      </c>
      <c r="G27" s="39">
        <f>IF(G25=0,0,VLOOKUP(G25,Tables!$A$3:$B$152,2,TRUE))</f>
        <v>760</v>
      </c>
      <c r="H27" s="35">
        <f>G27</f>
        <v>760</v>
      </c>
      <c r="I27" s="17">
        <f>ROUNDDOWN(56.0211*(I25-1.5)^1.05,0)</f>
        <v>327</v>
      </c>
      <c r="J27" s="35">
        <f>G28+I27</f>
        <v>1087</v>
      </c>
      <c r="K27" s="17">
        <f>ROUNDDOWN(0.188807*(100*K25-210)^1.41,0)</f>
        <v>498</v>
      </c>
      <c r="L27" s="35">
        <f>I28+K27</f>
        <v>1585</v>
      </c>
      <c r="M27" s="17">
        <f>ROUNDDOWN(1.84523*(100*M25-75)^1.348,0)</f>
        <v>449</v>
      </c>
      <c r="N27" s="19">
        <f>K28+M27</f>
        <v>2034</v>
      </c>
      <c r="O27" s="14"/>
      <c r="P27" s="14"/>
      <c r="Q27" s="23">
        <f>IF(O25+Q25=0,0,TRUNC(0.11193*((254-(O25*60+Q25))^1.88)))</f>
        <v>646</v>
      </c>
      <c r="R27" s="29">
        <f>M28+Q27</f>
        <v>2680</v>
      </c>
      <c r="S27" s="20"/>
    </row>
    <row r="28" spans="1:19" ht="14.25" customHeight="1">
      <c r="A28" s="33"/>
      <c r="B28" s="76"/>
      <c r="C28" s="8"/>
      <c r="D28" s="8"/>
      <c r="E28" s="8"/>
      <c r="F28" s="10">
        <v>44</v>
      </c>
      <c r="G28" s="40">
        <f>G27</f>
        <v>760</v>
      </c>
      <c r="H28" s="36">
        <f>G27</f>
        <v>760</v>
      </c>
      <c r="I28" s="15">
        <f>G28+I27</f>
        <v>1087</v>
      </c>
      <c r="J28" s="35">
        <f>G28+I27</f>
        <v>1087</v>
      </c>
      <c r="K28" s="24">
        <f>I28+K27</f>
        <v>1585</v>
      </c>
      <c r="L28" s="35">
        <f>I28+K27</f>
        <v>1585</v>
      </c>
      <c r="M28" s="15">
        <f>K28+M27</f>
        <v>2034</v>
      </c>
      <c r="N28" s="19">
        <f>K28+M27</f>
        <v>2034</v>
      </c>
      <c r="O28" s="15"/>
      <c r="P28" s="15"/>
      <c r="Q28" s="24">
        <f>M28+Q27</f>
        <v>2680</v>
      </c>
      <c r="R28" s="29">
        <f>M28+Q27</f>
        <v>2680</v>
      </c>
      <c r="S28" s="20"/>
    </row>
    <row r="29" spans="1:18" ht="13.5" customHeight="1">
      <c r="A29" s="31"/>
      <c r="B29" s="73"/>
      <c r="C29" s="181">
        <v>795</v>
      </c>
      <c r="D29" s="130" t="s">
        <v>99</v>
      </c>
      <c r="E29" s="136" t="s">
        <v>542</v>
      </c>
      <c r="F29" s="26">
        <v>25</v>
      </c>
      <c r="G29" s="102">
        <v>13.6</v>
      </c>
      <c r="H29" s="34">
        <f>G31</f>
        <v>609</v>
      </c>
      <c r="I29" s="101">
        <v>9.04</v>
      </c>
      <c r="J29" s="34">
        <f>G32+I31</f>
        <v>1076</v>
      </c>
      <c r="K29" s="101">
        <v>4.71</v>
      </c>
      <c r="L29" s="34">
        <f>I32+K31</f>
        <v>1558</v>
      </c>
      <c r="M29" s="101">
        <v>1.52</v>
      </c>
      <c r="N29" s="27">
        <f>K32+M31</f>
        <v>2202</v>
      </c>
      <c r="O29" s="122">
        <v>2</v>
      </c>
      <c r="P29" s="19" t="s">
        <v>25</v>
      </c>
      <c r="Q29" s="172" t="s">
        <v>538</v>
      </c>
      <c r="R29" s="28">
        <f>M32+Q31</f>
        <v>2595</v>
      </c>
    </row>
    <row r="30" spans="1:18" ht="13.5" customHeight="1">
      <c r="A30" s="32">
        <v>5</v>
      </c>
      <c r="B30" s="74"/>
      <c r="E30" s="10"/>
      <c r="F30" s="10">
        <v>26</v>
      </c>
      <c r="G30" s="85"/>
      <c r="H30" s="35">
        <f>G31</f>
        <v>609</v>
      </c>
      <c r="I30" s="14"/>
      <c r="J30" s="35">
        <f>G32+I31</f>
        <v>1076</v>
      </c>
      <c r="K30" s="85"/>
      <c r="L30" s="35">
        <f>I32+K31</f>
        <v>1558</v>
      </c>
      <c r="M30" s="14"/>
      <c r="N30" s="19">
        <f>K32+M31</f>
        <v>2202</v>
      </c>
      <c r="O30" s="14"/>
      <c r="P30" s="14"/>
      <c r="Q30" s="14"/>
      <c r="R30" s="29">
        <f>M32+Q31</f>
        <v>2595</v>
      </c>
    </row>
    <row r="31" spans="1:18" ht="13.5" customHeight="1">
      <c r="A31" s="32"/>
      <c r="B31" s="131"/>
      <c r="C31" s="11" t="s">
        <v>100</v>
      </c>
      <c r="D31" s="11"/>
      <c r="E31" s="25">
        <f>R29</f>
        <v>2595</v>
      </c>
      <c r="F31" s="26">
        <v>27</v>
      </c>
      <c r="G31" s="39">
        <f>IF(G29=0,0,VLOOKUP(G29,Tables!$A$3:$B$152,2,TRUE))</f>
        <v>609</v>
      </c>
      <c r="H31" s="35">
        <f>G31</f>
        <v>609</v>
      </c>
      <c r="I31" s="17">
        <f>ROUNDDOWN(56.0211*(I29-1.5)^1.05,0)</f>
        <v>467</v>
      </c>
      <c r="J31" s="35">
        <f>G32+I31</f>
        <v>1076</v>
      </c>
      <c r="K31" s="17">
        <f>ROUNDDOWN(0.188807*(100*K29-210)^1.41,0)</f>
        <v>482</v>
      </c>
      <c r="L31" s="35">
        <f>I32+K31</f>
        <v>1558</v>
      </c>
      <c r="M31" s="17">
        <f>ROUNDDOWN(1.84523*(100*M29-75)^1.348,0)</f>
        <v>644</v>
      </c>
      <c r="N31" s="19">
        <f>K32+M31</f>
        <v>2202</v>
      </c>
      <c r="O31" s="14"/>
      <c r="P31" s="14"/>
      <c r="Q31" s="23">
        <f>IF(O29+Q29=0,0,TRUNC(0.11193*((254-(O29*60+Q29))^1.88)))</f>
        <v>393</v>
      </c>
      <c r="R31" s="29">
        <f>M32+Q31</f>
        <v>2595</v>
      </c>
    </row>
    <row r="32" spans="1:18" ht="13.5" customHeight="1">
      <c r="A32" s="33"/>
      <c r="B32" s="76"/>
      <c r="C32" s="8"/>
      <c r="D32" s="8"/>
      <c r="E32" s="8"/>
      <c r="F32" s="26">
        <v>28</v>
      </c>
      <c r="G32" s="40">
        <f>G31</f>
        <v>609</v>
      </c>
      <c r="H32" s="36">
        <f>G31</f>
        <v>609</v>
      </c>
      <c r="I32" s="15">
        <f>G32+I31</f>
        <v>1076</v>
      </c>
      <c r="J32" s="35">
        <f>G32+I31</f>
        <v>1076</v>
      </c>
      <c r="K32" s="24">
        <f>I32+K31</f>
        <v>1558</v>
      </c>
      <c r="L32" s="35">
        <f>I32+K31</f>
        <v>1558</v>
      </c>
      <c r="M32" s="15">
        <f>K32+M31</f>
        <v>2202</v>
      </c>
      <c r="N32" s="19">
        <f>K32+M31</f>
        <v>2202</v>
      </c>
      <c r="O32" s="15"/>
      <c r="P32" s="15"/>
      <c r="Q32" s="24">
        <f>M32+Q31</f>
        <v>2595</v>
      </c>
      <c r="R32" s="29">
        <f>M32+Q31</f>
        <v>2595</v>
      </c>
    </row>
    <row r="33" spans="1:19" ht="13.5" customHeight="1">
      <c r="A33" s="31"/>
      <c r="B33" s="73"/>
      <c r="C33" s="180">
        <v>804</v>
      </c>
      <c r="D33" s="155" t="s">
        <v>248</v>
      </c>
      <c r="E33" s="136" t="s">
        <v>543</v>
      </c>
      <c r="F33" s="26">
        <v>61</v>
      </c>
      <c r="G33" s="102">
        <v>12.8</v>
      </c>
      <c r="H33" s="34">
        <f>G35</f>
        <v>698</v>
      </c>
      <c r="I33" s="101">
        <v>8.72</v>
      </c>
      <c r="J33" s="34">
        <f>G36+I35</f>
        <v>1144</v>
      </c>
      <c r="K33" s="101">
        <v>4.34</v>
      </c>
      <c r="L33" s="34">
        <f>I36+K35</f>
        <v>1532</v>
      </c>
      <c r="M33" s="101">
        <v>1.46</v>
      </c>
      <c r="N33" s="27">
        <f>K36+M35</f>
        <v>2109</v>
      </c>
      <c r="O33" s="122">
        <v>2</v>
      </c>
      <c r="P33" s="19" t="s">
        <v>25</v>
      </c>
      <c r="Q33" s="172" t="s">
        <v>537</v>
      </c>
      <c r="R33" s="28">
        <f>M36+Q35</f>
        <v>2564</v>
      </c>
      <c r="S33" s="20"/>
    </row>
    <row r="34" spans="1:21" ht="13.5" customHeight="1">
      <c r="A34" s="32">
        <v>6</v>
      </c>
      <c r="B34" s="74"/>
      <c r="E34" s="10"/>
      <c r="F34" s="10">
        <v>62</v>
      </c>
      <c r="G34" s="85"/>
      <c r="H34" s="35">
        <f>G35</f>
        <v>698</v>
      </c>
      <c r="I34" s="14"/>
      <c r="J34" s="35">
        <f>G36+I35</f>
        <v>1144</v>
      </c>
      <c r="K34" s="85"/>
      <c r="L34" s="35">
        <f>I36+K35</f>
        <v>1532</v>
      </c>
      <c r="M34" s="14"/>
      <c r="N34" s="19">
        <f>K36+M35</f>
        <v>2109</v>
      </c>
      <c r="O34" s="14"/>
      <c r="P34" s="14"/>
      <c r="Q34" s="14"/>
      <c r="R34" s="29">
        <f>M36+Q35</f>
        <v>2564</v>
      </c>
      <c r="S34" s="20"/>
      <c r="T34" s="20"/>
      <c r="U34" s="20"/>
    </row>
    <row r="35" spans="1:21" ht="13.5" customHeight="1">
      <c r="A35" s="32"/>
      <c r="B35" s="131"/>
      <c r="C35" s="11" t="s">
        <v>86</v>
      </c>
      <c r="D35" s="11"/>
      <c r="E35" s="25">
        <f>R33</f>
        <v>2564</v>
      </c>
      <c r="F35" s="26">
        <v>63</v>
      </c>
      <c r="G35" s="39">
        <f>IF(G33=0,0,VLOOKUP(G33,Tables!$A$3:$B$152,2,TRUE))</f>
        <v>698</v>
      </c>
      <c r="H35" s="35">
        <f>G35</f>
        <v>698</v>
      </c>
      <c r="I35" s="17">
        <f>ROUNDDOWN(56.0211*(I33-1.5)^1.05,0)</f>
        <v>446</v>
      </c>
      <c r="J35" s="35">
        <f>G36+I35</f>
        <v>1144</v>
      </c>
      <c r="K35" s="17">
        <f>ROUNDDOWN(0.188807*(100*K33-210)^1.41,0)</f>
        <v>388</v>
      </c>
      <c r="L35" s="35">
        <f>I36+K35</f>
        <v>1532</v>
      </c>
      <c r="M35" s="17">
        <f>ROUNDDOWN(1.84523*(100*M33-75)^1.348,0)</f>
        <v>577</v>
      </c>
      <c r="N35" s="19">
        <f>K36+M35</f>
        <v>2109</v>
      </c>
      <c r="O35" s="14"/>
      <c r="P35" s="14"/>
      <c r="Q35" s="23">
        <f>IF(O33+Q33=0,0,TRUNC(0.11193*((254-(O33*60+Q33))^1.88)))</f>
        <v>455</v>
      </c>
      <c r="R35" s="29">
        <f>M36+Q35</f>
        <v>2564</v>
      </c>
      <c r="S35" s="20"/>
      <c r="T35" s="20"/>
      <c r="U35" s="20"/>
    </row>
    <row r="36" spans="1:21" ht="13.5" customHeight="1">
      <c r="A36" s="33"/>
      <c r="B36" s="76"/>
      <c r="C36" s="8"/>
      <c r="D36" s="8"/>
      <c r="E36" s="8"/>
      <c r="F36" s="26">
        <v>64</v>
      </c>
      <c r="G36" s="40">
        <f>G35</f>
        <v>698</v>
      </c>
      <c r="H36" s="36">
        <f>G35</f>
        <v>698</v>
      </c>
      <c r="I36" s="15">
        <f>G36+I35</f>
        <v>1144</v>
      </c>
      <c r="J36" s="35">
        <f>G36+I35</f>
        <v>1144</v>
      </c>
      <c r="K36" s="24">
        <f>I36+K35</f>
        <v>1532</v>
      </c>
      <c r="L36" s="35">
        <f>I36+K35</f>
        <v>1532</v>
      </c>
      <c r="M36" s="15">
        <f>K36+M35</f>
        <v>2109</v>
      </c>
      <c r="N36" s="19">
        <f>K36+M35</f>
        <v>2109</v>
      </c>
      <c r="O36" s="15"/>
      <c r="P36" s="15"/>
      <c r="Q36" s="24">
        <f>M36+Q35</f>
        <v>2564</v>
      </c>
      <c r="R36" s="29">
        <f>M36+Q35</f>
        <v>2564</v>
      </c>
      <c r="S36" s="20"/>
      <c r="T36" s="20"/>
      <c r="U36" s="20"/>
    </row>
    <row r="37" spans="1:21" ht="13.5" customHeight="1">
      <c r="A37" s="31"/>
      <c r="B37" s="73"/>
      <c r="C37" s="181">
        <v>792</v>
      </c>
      <c r="D37" s="130" t="s">
        <v>237</v>
      </c>
      <c r="E37" s="91" t="s">
        <v>544</v>
      </c>
      <c r="F37" s="26">
        <v>13</v>
      </c>
      <c r="G37" s="82">
        <v>12.9</v>
      </c>
      <c r="H37" s="34">
        <f>G39</f>
        <v>686</v>
      </c>
      <c r="I37" s="83">
        <v>7.5</v>
      </c>
      <c r="J37" s="34">
        <f>G40+I39</f>
        <v>1053</v>
      </c>
      <c r="K37" s="83">
        <v>4.54</v>
      </c>
      <c r="L37" s="34">
        <f>I40+K39</f>
        <v>1491</v>
      </c>
      <c r="M37" s="83">
        <v>1.4</v>
      </c>
      <c r="N37" s="27">
        <f>K40+M39</f>
        <v>2003</v>
      </c>
      <c r="O37" s="84">
        <v>2</v>
      </c>
      <c r="P37" s="7" t="s">
        <v>25</v>
      </c>
      <c r="Q37" s="184" t="s">
        <v>392</v>
      </c>
      <c r="R37" s="28">
        <f>M40+Q39</f>
        <v>2517</v>
      </c>
      <c r="T37" s="20"/>
      <c r="U37" s="20"/>
    </row>
    <row r="38" spans="1:21" ht="13.5" customHeight="1">
      <c r="A38" s="32">
        <v>7</v>
      </c>
      <c r="B38" s="74"/>
      <c r="E38" s="10"/>
      <c r="F38" s="10">
        <v>14</v>
      </c>
      <c r="G38" s="85"/>
      <c r="H38" s="35">
        <f>G39</f>
        <v>686</v>
      </c>
      <c r="I38" s="14"/>
      <c r="J38" s="35">
        <f>G40+I39</f>
        <v>1053</v>
      </c>
      <c r="K38" s="85"/>
      <c r="L38" s="35">
        <f>I40+K39</f>
        <v>1491</v>
      </c>
      <c r="M38" s="14"/>
      <c r="N38" s="19">
        <f>K40+M39</f>
        <v>2003</v>
      </c>
      <c r="O38" s="14"/>
      <c r="P38" s="14"/>
      <c r="Q38" s="14"/>
      <c r="R38" s="29">
        <f>M40+Q39</f>
        <v>2517</v>
      </c>
      <c r="T38" s="20"/>
      <c r="U38" s="20"/>
    </row>
    <row r="39" spans="1:21" ht="13.5" customHeight="1">
      <c r="A39" s="32"/>
      <c r="B39" s="131"/>
      <c r="C39" s="95" t="s">
        <v>141</v>
      </c>
      <c r="D39" s="11"/>
      <c r="E39" s="25">
        <f>R37</f>
        <v>2517</v>
      </c>
      <c r="F39" s="26">
        <v>15</v>
      </c>
      <c r="G39" s="39">
        <f>IF(G37=0,0,VLOOKUP(G37,Tables!$A$3:$B$152,2,TRUE))</f>
        <v>686</v>
      </c>
      <c r="H39" s="35">
        <f>G39</f>
        <v>686</v>
      </c>
      <c r="I39" s="17">
        <f>ROUNDDOWN(56.0211*(I37-1.5)^1.05,0)</f>
        <v>367</v>
      </c>
      <c r="J39" s="35">
        <f>G40+I39</f>
        <v>1053</v>
      </c>
      <c r="K39" s="17">
        <f>ROUNDDOWN(0.188807*(100*K37-210)^1.41,0)</f>
        <v>438</v>
      </c>
      <c r="L39" s="35">
        <f>I40+K39</f>
        <v>1491</v>
      </c>
      <c r="M39" s="17">
        <f>ROUNDDOWN(1.84523*(100*M37-75)^1.348,0)</f>
        <v>512</v>
      </c>
      <c r="N39" s="19">
        <f>K40+M39</f>
        <v>2003</v>
      </c>
      <c r="O39" s="14"/>
      <c r="P39" s="14"/>
      <c r="Q39" s="23">
        <f>IF(O37+Q37=0,0,TRUNC(0.11193*((254-(O37*60+Q37))^1.88)))</f>
        <v>514</v>
      </c>
      <c r="R39" s="29">
        <f>M40+Q39</f>
        <v>2517</v>
      </c>
      <c r="T39" s="20"/>
      <c r="U39" s="20"/>
    </row>
    <row r="40" spans="1:21" ht="13.5" customHeight="1">
      <c r="A40" s="33"/>
      <c r="B40" s="76"/>
      <c r="C40" s="8"/>
      <c r="D40" s="8"/>
      <c r="E40" s="8"/>
      <c r="F40" s="26">
        <v>16</v>
      </c>
      <c r="G40" s="40">
        <f>G39</f>
        <v>686</v>
      </c>
      <c r="H40" s="36">
        <f>G39</f>
        <v>686</v>
      </c>
      <c r="I40" s="15">
        <f>G40+I39</f>
        <v>1053</v>
      </c>
      <c r="J40" s="35">
        <f>G40+I39</f>
        <v>1053</v>
      </c>
      <c r="K40" s="24">
        <f>I40+K39</f>
        <v>1491</v>
      </c>
      <c r="L40" s="35">
        <f>I40+K39</f>
        <v>1491</v>
      </c>
      <c r="M40" s="15">
        <f>K40+M39</f>
        <v>2003</v>
      </c>
      <c r="N40" s="19">
        <f>K40+M39</f>
        <v>2003</v>
      </c>
      <c r="O40" s="15"/>
      <c r="P40" s="15"/>
      <c r="Q40" s="24">
        <f>M40+Q39</f>
        <v>2517</v>
      </c>
      <c r="R40" s="29">
        <f>M40+Q39</f>
        <v>2517</v>
      </c>
      <c r="S40" s="20"/>
      <c r="T40" s="20"/>
      <c r="U40" s="20"/>
    </row>
    <row r="41" spans="1:21" ht="13.5" customHeight="1">
      <c r="A41" s="31"/>
      <c r="B41" s="73"/>
      <c r="C41" s="180">
        <v>797</v>
      </c>
      <c r="D41" s="155" t="s">
        <v>241</v>
      </c>
      <c r="E41" s="136" t="s">
        <v>545</v>
      </c>
      <c r="F41" s="26">
        <v>33</v>
      </c>
      <c r="G41" s="102">
        <v>13.2</v>
      </c>
      <c r="H41" s="34">
        <f>G43</f>
        <v>652</v>
      </c>
      <c r="I41" s="101">
        <v>8.16</v>
      </c>
      <c r="J41" s="34">
        <f>G44+I43</f>
        <v>1062</v>
      </c>
      <c r="K41" s="101">
        <v>4.31</v>
      </c>
      <c r="L41" s="34">
        <f>I44+K43</f>
        <v>1443</v>
      </c>
      <c r="M41" s="101">
        <v>1.46</v>
      </c>
      <c r="N41" s="27">
        <f>K44+M43</f>
        <v>2020</v>
      </c>
      <c r="O41" s="122">
        <v>2</v>
      </c>
      <c r="P41" s="19" t="s">
        <v>25</v>
      </c>
      <c r="Q41" s="172" t="s">
        <v>531</v>
      </c>
      <c r="R41" s="28">
        <f>M44+Q43</f>
        <v>2469</v>
      </c>
      <c r="S41" s="20"/>
      <c r="T41" s="20"/>
      <c r="U41" s="20"/>
    </row>
    <row r="42" spans="1:21" ht="13.5" customHeight="1">
      <c r="A42" s="32">
        <v>8</v>
      </c>
      <c r="B42" s="74"/>
      <c r="E42" s="10"/>
      <c r="F42" s="26">
        <v>34</v>
      </c>
      <c r="G42" s="85"/>
      <c r="H42" s="35">
        <f>G43</f>
        <v>652</v>
      </c>
      <c r="I42" s="14"/>
      <c r="J42" s="35">
        <f>G44+I43</f>
        <v>1062</v>
      </c>
      <c r="K42" s="85"/>
      <c r="L42" s="35">
        <f>I44+K43</f>
        <v>1443</v>
      </c>
      <c r="M42" s="14"/>
      <c r="N42" s="19">
        <f>K44+M43</f>
        <v>2020</v>
      </c>
      <c r="O42" s="14"/>
      <c r="P42" s="14"/>
      <c r="Q42" s="14"/>
      <c r="R42" s="29">
        <f>M44+Q43</f>
        <v>2469</v>
      </c>
      <c r="S42" s="20"/>
      <c r="T42" s="20"/>
      <c r="U42" s="20"/>
    </row>
    <row r="43" spans="1:21" ht="13.5" customHeight="1">
      <c r="A43" s="32"/>
      <c r="B43" s="131"/>
      <c r="C43" s="11" t="s">
        <v>100</v>
      </c>
      <c r="D43" s="11"/>
      <c r="E43" s="25">
        <f>R41</f>
        <v>2469</v>
      </c>
      <c r="F43" s="10">
        <v>35</v>
      </c>
      <c r="G43" s="39">
        <f>IF(G41=0,0,VLOOKUP(G41,Tables!$A$3:$B$152,2,TRUE))</f>
        <v>652</v>
      </c>
      <c r="H43" s="35">
        <f>G43</f>
        <v>652</v>
      </c>
      <c r="I43" s="17">
        <f>ROUNDDOWN(56.0211*(I41-1.5)^1.05,0)</f>
        <v>410</v>
      </c>
      <c r="J43" s="35">
        <f>G44+I43</f>
        <v>1062</v>
      </c>
      <c r="K43" s="17">
        <f>ROUNDDOWN(0.188807*(100*K41-210)^1.41,0)</f>
        <v>381</v>
      </c>
      <c r="L43" s="35">
        <f>I44+K43</f>
        <v>1443</v>
      </c>
      <c r="M43" s="17">
        <f>ROUNDDOWN(1.84523*(100*M41-75)^1.348,0)</f>
        <v>577</v>
      </c>
      <c r="N43" s="19">
        <f>K44+M43</f>
        <v>2020</v>
      </c>
      <c r="O43" s="14"/>
      <c r="P43" s="14"/>
      <c r="Q43" s="23">
        <f>IF(O41+Q41=0,0,TRUNC(0.11193*((254-(O41*60+Q41))^1.88)))</f>
        <v>449</v>
      </c>
      <c r="R43" s="29">
        <f>M44+Q43</f>
        <v>2469</v>
      </c>
      <c r="S43" s="20"/>
      <c r="T43" s="20"/>
      <c r="U43" s="20"/>
    </row>
    <row r="44" spans="1:21" ht="13.5" customHeight="1">
      <c r="A44" s="33"/>
      <c r="B44" s="76"/>
      <c r="C44" s="8"/>
      <c r="D44" s="8"/>
      <c r="E44" s="8"/>
      <c r="F44" s="26">
        <v>36</v>
      </c>
      <c r="G44" s="40">
        <f>G43</f>
        <v>652</v>
      </c>
      <c r="H44" s="36">
        <f>G43</f>
        <v>652</v>
      </c>
      <c r="I44" s="15">
        <f>G44+I43</f>
        <v>1062</v>
      </c>
      <c r="J44" s="35">
        <f>G44+I43</f>
        <v>1062</v>
      </c>
      <c r="K44" s="24">
        <f>I44+K43</f>
        <v>1443</v>
      </c>
      <c r="L44" s="35">
        <f>I44+K43</f>
        <v>1443</v>
      </c>
      <c r="M44" s="15">
        <f>K44+M43</f>
        <v>2020</v>
      </c>
      <c r="N44" s="19">
        <f>K44+M43</f>
        <v>2020</v>
      </c>
      <c r="O44" s="15"/>
      <c r="P44" s="15"/>
      <c r="Q44" s="24">
        <f>M44+Q43</f>
        <v>2469</v>
      </c>
      <c r="R44" s="29">
        <f>M44+Q43</f>
        <v>2469</v>
      </c>
      <c r="S44" s="20"/>
      <c r="T44" s="20"/>
      <c r="U44" s="20"/>
    </row>
    <row r="45" spans="1:21" ht="14.25" customHeight="1">
      <c r="A45" s="31"/>
      <c r="B45" s="73"/>
      <c r="C45" s="180">
        <v>790</v>
      </c>
      <c r="D45" s="155" t="s">
        <v>235</v>
      </c>
      <c r="E45" s="136" t="s">
        <v>546</v>
      </c>
      <c r="F45" s="10">
        <v>5</v>
      </c>
      <c r="G45" s="102">
        <v>16</v>
      </c>
      <c r="H45" s="34">
        <f>G47</f>
        <v>399</v>
      </c>
      <c r="I45" s="101">
        <v>8.3</v>
      </c>
      <c r="J45" s="34">
        <f>G48+I47</f>
        <v>818</v>
      </c>
      <c r="K45" s="101">
        <v>4.26</v>
      </c>
      <c r="L45" s="34">
        <f>I48+K47</f>
        <v>1187</v>
      </c>
      <c r="M45" s="101">
        <v>1.46</v>
      </c>
      <c r="N45" s="27">
        <f>K48+M47</f>
        <v>1764</v>
      </c>
      <c r="O45" s="122">
        <v>2</v>
      </c>
      <c r="P45" s="19" t="s">
        <v>25</v>
      </c>
      <c r="Q45" s="172" t="s">
        <v>527</v>
      </c>
      <c r="R45" s="28">
        <f>M48+Q47</f>
        <v>2428</v>
      </c>
      <c r="S45" s="20"/>
      <c r="T45" s="20"/>
      <c r="U45" s="20"/>
    </row>
    <row r="46" spans="1:21" ht="14.25" customHeight="1">
      <c r="A46" s="32">
        <v>9</v>
      </c>
      <c r="B46" s="74"/>
      <c r="E46" s="10"/>
      <c r="F46" s="26">
        <v>6</v>
      </c>
      <c r="G46" s="85"/>
      <c r="H46" s="35">
        <f>G47</f>
        <v>399</v>
      </c>
      <c r="I46" s="14"/>
      <c r="J46" s="35">
        <f>G48+I47</f>
        <v>818</v>
      </c>
      <c r="K46" s="85"/>
      <c r="L46" s="35">
        <f>I48+K47</f>
        <v>1187</v>
      </c>
      <c r="M46" s="14"/>
      <c r="N46" s="19">
        <f>K48+M47</f>
        <v>1764</v>
      </c>
      <c r="O46" s="14"/>
      <c r="P46" s="14"/>
      <c r="Q46" s="14"/>
      <c r="R46" s="29">
        <f>M48+Q47</f>
        <v>2428</v>
      </c>
      <c r="S46" s="20"/>
      <c r="T46" s="20"/>
      <c r="U46" s="20"/>
    </row>
    <row r="47" spans="1:21" ht="14.25" customHeight="1">
      <c r="A47" s="32"/>
      <c r="B47" s="131"/>
      <c r="C47" s="95" t="s">
        <v>101</v>
      </c>
      <c r="D47" s="11"/>
      <c r="E47" s="25">
        <f>R45</f>
        <v>2428</v>
      </c>
      <c r="F47" s="26">
        <v>7</v>
      </c>
      <c r="G47" s="39">
        <f>IF(G45=0,0,VLOOKUP(G45,Tables!$A$3:$B$152,2,TRUE))</f>
        <v>399</v>
      </c>
      <c r="H47" s="35">
        <f>G47</f>
        <v>399</v>
      </c>
      <c r="I47" s="17">
        <f>ROUNDDOWN(56.0211*(I45-1.5)^1.05,0)</f>
        <v>419</v>
      </c>
      <c r="J47" s="35">
        <f>G48+I47</f>
        <v>818</v>
      </c>
      <c r="K47" s="17">
        <f>ROUNDDOWN(0.188807*(100*K45-210)^1.41,0)</f>
        <v>369</v>
      </c>
      <c r="L47" s="35">
        <f>I48+K47</f>
        <v>1187</v>
      </c>
      <c r="M47" s="17">
        <f>ROUNDDOWN(1.84523*(100*M45-75)^1.348,0)</f>
        <v>577</v>
      </c>
      <c r="N47" s="19">
        <f>K48+M47</f>
        <v>1764</v>
      </c>
      <c r="O47" s="14"/>
      <c r="P47" s="14"/>
      <c r="Q47" s="23">
        <f>IF(O45+Q45=0,0,TRUNC(0.11193*((254-(O45*60+Q45))^1.88)))</f>
        <v>664</v>
      </c>
      <c r="R47" s="29">
        <f>M48+Q47</f>
        <v>2428</v>
      </c>
      <c r="S47" s="20"/>
      <c r="T47" s="20"/>
      <c r="U47" s="20"/>
    </row>
    <row r="48" spans="1:21" ht="14.25" customHeight="1">
      <c r="A48" s="33"/>
      <c r="B48" s="76"/>
      <c r="C48" s="8"/>
      <c r="D48" s="8"/>
      <c r="E48" s="8"/>
      <c r="F48" s="10">
        <v>8</v>
      </c>
      <c r="G48" s="40">
        <f>G47</f>
        <v>399</v>
      </c>
      <c r="H48" s="36">
        <f>G47</f>
        <v>399</v>
      </c>
      <c r="I48" s="15">
        <f>G48+I47</f>
        <v>818</v>
      </c>
      <c r="J48" s="35">
        <f>G48+I47</f>
        <v>818</v>
      </c>
      <c r="K48" s="24">
        <f>I48+K47</f>
        <v>1187</v>
      </c>
      <c r="L48" s="35">
        <f>I48+K47</f>
        <v>1187</v>
      </c>
      <c r="M48" s="15">
        <f>K48+M47</f>
        <v>1764</v>
      </c>
      <c r="N48" s="19">
        <f>K48+M47</f>
        <v>1764</v>
      </c>
      <c r="O48" s="15"/>
      <c r="P48" s="15"/>
      <c r="Q48" s="24">
        <f>M48+Q47</f>
        <v>2428</v>
      </c>
      <c r="R48" s="29">
        <f>M48+Q47</f>
        <v>2428</v>
      </c>
      <c r="S48" s="20"/>
      <c r="T48" s="20"/>
      <c r="U48" s="20"/>
    </row>
    <row r="49" spans="1:21" ht="14.25" customHeight="1">
      <c r="A49" s="31"/>
      <c r="B49" s="73"/>
      <c r="C49" s="180">
        <v>794</v>
      </c>
      <c r="D49" s="155" t="s">
        <v>239</v>
      </c>
      <c r="E49" s="136" t="s">
        <v>547</v>
      </c>
      <c r="F49" s="26">
        <v>21</v>
      </c>
      <c r="G49" s="102">
        <v>14</v>
      </c>
      <c r="H49" s="34">
        <f>G51</f>
        <v>568</v>
      </c>
      <c r="I49" s="101">
        <v>7.3</v>
      </c>
      <c r="J49" s="34">
        <f>G52+I51</f>
        <v>922</v>
      </c>
      <c r="K49" s="101">
        <v>4.16</v>
      </c>
      <c r="L49" s="34">
        <f>I52+K51</f>
        <v>1267</v>
      </c>
      <c r="M49" s="101">
        <v>1.34</v>
      </c>
      <c r="N49" s="27">
        <f>K52+M51</f>
        <v>1716</v>
      </c>
      <c r="O49" s="122">
        <v>2</v>
      </c>
      <c r="P49" s="19" t="s">
        <v>25</v>
      </c>
      <c r="Q49" s="172" t="s">
        <v>390</v>
      </c>
      <c r="R49" s="28">
        <f>M52+Q51</f>
        <v>2304</v>
      </c>
      <c r="S49" s="20"/>
      <c r="T49" s="20"/>
      <c r="U49" s="20"/>
    </row>
    <row r="50" spans="1:21" ht="14.25" customHeight="1">
      <c r="A50" s="32">
        <v>10</v>
      </c>
      <c r="B50" s="74"/>
      <c r="E50" s="10"/>
      <c r="F50" s="26">
        <v>22</v>
      </c>
      <c r="G50" s="85"/>
      <c r="H50" s="35">
        <f>G51</f>
        <v>568</v>
      </c>
      <c r="I50" s="14"/>
      <c r="J50" s="35">
        <f>G52+I51</f>
        <v>922</v>
      </c>
      <c r="K50" s="85"/>
      <c r="L50" s="35">
        <f>I52+K51</f>
        <v>1267</v>
      </c>
      <c r="M50" s="14"/>
      <c r="N50" s="19">
        <f>K52+M51</f>
        <v>1716</v>
      </c>
      <c r="O50" s="14"/>
      <c r="P50" s="14"/>
      <c r="Q50" s="14"/>
      <c r="R50" s="29">
        <f>M52+Q51</f>
        <v>2304</v>
      </c>
      <c r="S50" s="20"/>
      <c r="T50" s="20"/>
      <c r="U50" s="20"/>
    </row>
    <row r="51" spans="1:21" ht="14.25" customHeight="1">
      <c r="A51" s="32"/>
      <c r="B51" s="131"/>
      <c r="C51" s="95" t="s">
        <v>141</v>
      </c>
      <c r="D51" s="11"/>
      <c r="E51" s="25">
        <f>R49</f>
        <v>2304</v>
      </c>
      <c r="F51" s="10">
        <v>23</v>
      </c>
      <c r="G51" s="39">
        <f>IF(G49=0,0,VLOOKUP(G49,Tables!$A$3:$B$152,2,TRUE))</f>
        <v>568</v>
      </c>
      <c r="H51" s="35">
        <f>G51</f>
        <v>568</v>
      </c>
      <c r="I51" s="17">
        <f>ROUNDDOWN(56.0211*(I49-1.5)^1.05,0)</f>
        <v>354</v>
      </c>
      <c r="J51" s="35">
        <f>G52+I51</f>
        <v>922</v>
      </c>
      <c r="K51" s="17">
        <f>ROUNDDOWN(0.188807*(100*K49-210)^1.41,0)</f>
        <v>345</v>
      </c>
      <c r="L51" s="35">
        <f>I52+K51</f>
        <v>1267</v>
      </c>
      <c r="M51" s="17">
        <f>ROUNDDOWN(1.84523*(100*M49-75)^1.348,0)</f>
        <v>449</v>
      </c>
      <c r="N51" s="19">
        <f>K52+M51</f>
        <v>1716</v>
      </c>
      <c r="O51" s="14"/>
      <c r="P51" s="14"/>
      <c r="Q51" s="23">
        <f>IF(O49+Q49=0,0,TRUNC(0.11193*((254-(O49*60+Q49))^1.88)))</f>
        <v>588</v>
      </c>
      <c r="R51" s="29">
        <f>M52+Q51</f>
        <v>2304</v>
      </c>
      <c r="S51" s="20"/>
      <c r="T51" s="20"/>
      <c r="U51" s="20"/>
    </row>
    <row r="52" spans="1:21" ht="14.25" customHeight="1">
      <c r="A52" s="33"/>
      <c r="B52" s="76"/>
      <c r="C52" s="8"/>
      <c r="D52" s="8"/>
      <c r="E52" s="8"/>
      <c r="F52" s="26">
        <v>24</v>
      </c>
      <c r="G52" s="40">
        <f>G51</f>
        <v>568</v>
      </c>
      <c r="H52" s="36">
        <f>G51</f>
        <v>568</v>
      </c>
      <c r="I52" s="15">
        <f>G52+I51</f>
        <v>922</v>
      </c>
      <c r="J52" s="35">
        <f>G52+I51</f>
        <v>922</v>
      </c>
      <c r="K52" s="24">
        <f>I52+K51</f>
        <v>1267</v>
      </c>
      <c r="L52" s="35">
        <f>I52+K51</f>
        <v>1267</v>
      </c>
      <c r="M52" s="15">
        <f>K52+M51</f>
        <v>1716</v>
      </c>
      <c r="N52" s="19">
        <f>K52+M51</f>
        <v>1716</v>
      </c>
      <c r="O52" s="15"/>
      <c r="P52" s="15"/>
      <c r="Q52" s="24">
        <f>M52+Q51</f>
        <v>2304</v>
      </c>
      <c r="R52" s="29">
        <f>M52+Q51</f>
        <v>2304</v>
      </c>
      <c r="S52" s="20"/>
      <c r="T52" s="20"/>
      <c r="U52" s="20"/>
    </row>
    <row r="53" spans="1:19" ht="14.25" customHeight="1">
      <c r="A53" s="31"/>
      <c r="B53" s="73"/>
      <c r="C53" s="180">
        <v>796</v>
      </c>
      <c r="D53" s="155" t="s">
        <v>240</v>
      </c>
      <c r="E53" s="136" t="s">
        <v>548</v>
      </c>
      <c r="F53" s="10">
        <v>29</v>
      </c>
      <c r="G53" s="102">
        <v>14.9</v>
      </c>
      <c r="H53" s="34">
        <f>G55</f>
        <v>489</v>
      </c>
      <c r="I53" s="101">
        <v>6.92</v>
      </c>
      <c r="J53" s="34">
        <f>G56+I55</f>
        <v>819</v>
      </c>
      <c r="K53" s="101">
        <v>4.17</v>
      </c>
      <c r="L53" s="34">
        <f>I56+K55</f>
        <v>1166</v>
      </c>
      <c r="M53" s="101">
        <v>1.4</v>
      </c>
      <c r="N53" s="27">
        <f>K56+M55</f>
        <v>1678</v>
      </c>
      <c r="O53" s="122">
        <v>2</v>
      </c>
      <c r="P53" s="19" t="s">
        <v>25</v>
      </c>
      <c r="Q53" s="172" t="s">
        <v>529</v>
      </c>
      <c r="R53" s="28">
        <f>M56+Q55</f>
        <v>2228</v>
      </c>
      <c r="S53" s="20"/>
    </row>
    <row r="54" spans="1:19" ht="14.25" customHeight="1">
      <c r="A54" s="32">
        <v>11</v>
      </c>
      <c r="B54" s="74"/>
      <c r="E54" s="10"/>
      <c r="F54" s="26">
        <v>30</v>
      </c>
      <c r="G54" s="85"/>
      <c r="H54" s="35">
        <f>G55</f>
        <v>489</v>
      </c>
      <c r="I54" s="14"/>
      <c r="J54" s="35">
        <f>G56+I55</f>
        <v>819</v>
      </c>
      <c r="K54" s="85"/>
      <c r="L54" s="35">
        <f>I56+K55</f>
        <v>1166</v>
      </c>
      <c r="M54" s="14"/>
      <c r="N54" s="19">
        <f>K56+M55</f>
        <v>1678</v>
      </c>
      <c r="O54" s="14"/>
      <c r="P54" s="14"/>
      <c r="Q54" s="14"/>
      <c r="R54" s="29">
        <f>M56+Q55</f>
        <v>2228</v>
      </c>
      <c r="S54" s="20"/>
    </row>
    <row r="55" spans="1:19" ht="14.25" customHeight="1">
      <c r="A55" s="32"/>
      <c r="B55" s="131"/>
      <c r="C55" s="11" t="s">
        <v>100</v>
      </c>
      <c r="D55" s="11"/>
      <c r="E55" s="25">
        <f>R53</f>
        <v>2228</v>
      </c>
      <c r="F55" s="26">
        <v>31</v>
      </c>
      <c r="G55" s="39">
        <f>IF(G53=0,0,VLOOKUP(G53,Tables!$A$3:$B$152,2,TRUE))</f>
        <v>489</v>
      </c>
      <c r="H55" s="35">
        <f>G55</f>
        <v>489</v>
      </c>
      <c r="I55" s="17">
        <f>ROUNDDOWN(56.0211*(I53-1.5)^1.05,0)</f>
        <v>330</v>
      </c>
      <c r="J55" s="35">
        <f>G56+I55</f>
        <v>819</v>
      </c>
      <c r="K55" s="17">
        <f>ROUNDDOWN(0.188807*(100*K53-210)^1.41,0)</f>
        <v>347</v>
      </c>
      <c r="L55" s="35">
        <f>I56+K55</f>
        <v>1166</v>
      </c>
      <c r="M55" s="17">
        <f>ROUNDDOWN(1.84523*(100*M53-75)^1.348,0)</f>
        <v>512</v>
      </c>
      <c r="N55" s="19">
        <f>K56+M55</f>
        <v>1678</v>
      </c>
      <c r="O55" s="14"/>
      <c r="P55" s="14"/>
      <c r="Q55" s="23">
        <f>IF(O53+Q53=0,0,TRUNC(0.11193*((254-(O53*60+Q53))^1.88)))</f>
        <v>550</v>
      </c>
      <c r="R55" s="29">
        <f>M56+Q55</f>
        <v>2228</v>
      </c>
      <c r="S55" s="20"/>
    </row>
    <row r="56" spans="1:19" ht="14.25" customHeight="1">
      <c r="A56" s="33"/>
      <c r="B56" s="76"/>
      <c r="C56" s="8"/>
      <c r="D56" s="8"/>
      <c r="E56" s="8"/>
      <c r="F56" s="10">
        <v>32</v>
      </c>
      <c r="G56" s="40">
        <f>G55</f>
        <v>489</v>
      </c>
      <c r="H56" s="36">
        <f>G55</f>
        <v>489</v>
      </c>
      <c r="I56" s="15">
        <f>G56+I55</f>
        <v>819</v>
      </c>
      <c r="J56" s="35">
        <f>G56+I55</f>
        <v>819</v>
      </c>
      <c r="K56" s="24">
        <f>I56+K55</f>
        <v>1166</v>
      </c>
      <c r="L56" s="35">
        <f>I56+K55</f>
        <v>1166</v>
      </c>
      <c r="M56" s="15">
        <f>K56+M55</f>
        <v>1678</v>
      </c>
      <c r="N56" s="19">
        <f>K56+M55</f>
        <v>1678</v>
      </c>
      <c r="O56" s="15"/>
      <c r="P56" s="15"/>
      <c r="Q56" s="24">
        <f>M56+Q55</f>
        <v>2228</v>
      </c>
      <c r="R56" s="29">
        <f>M56+Q55</f>
        <v>2228</v>
      </c>
      <c r="S56" s="20"/>
    </row>
    <row r="57" spans="1:19" ht="14.25" customHeight="1">
      <c r="A57" s="31"/>
      <c r="B57" s="73"/>
      <c r="C57" s="180">
        <v>798</v>
      </c>
      <c r="D57" s="155" t="s">
        <v>242</v>
      </c>
      <c r="E57" s="136" t="s">
        <v>549</v>
      </c>
      <c r="F57" s="26">
        <v>37</v>
      </c>
      <c r="G57" s="102">
        <v>16.8</v>
      </c>
      <c r="H57" s="34">
        <f>G59</f>
        <v>341</v>
      </c>
      <c r="I57" s="101">
        <v>9.1</v>
      </c>
      <c r="J57" s="34">
        <f>G60+I59</f>
        <v>812</v>
      </c>
      <c r="K57" s="101">
        <v>4.26</v>
      </c>
      <c r="L57" s="34">
        <f>I60+K59</f>
        <v>1181</v>
      </c>
      <c r="M57" s="101">
        <v>1.34</v>
      </c>
      <c r="N57" s="27">
        <f>K60+M59</f>
        <v>1630</v>
      </c>
      <c r="O57" s="122">
        <v>2</v>
      </c>
      <c r="P57" s="19" t="s">
        <v>25</v>
      </c>
      <c r="Q57" s="172" t="s">
        <v>528</v>
      </c>
      <c r="R57" s="28">
        <f>M60+Q59</f>
        <v>2182</v>
      </c>
      <c r="S57" s="20"/>
    </row>
    <row r="58" spans="1:19" ht="14.25" customHeight="1">
      <c r="A58" s="32">
        <v>12</v>
      </c>
      <c r="B58" s="74"/>
      <c r="E58" s="10"/>
      <c r="F58" s="10">
        <v>38</v>
      </c>
      <c r="G58" s="85"/>
      <c r="H58" s="35">
        <f>G59</f>
        <v>341</v>
      </c>
      <c r="I58" s="14"/>
      <c r="J58" s="35">
        <f>G60+I59</f>
        <v>812</v>
      </c>
      <c r="K58" s="85"/>
      <c r="L58" s="35">
        <f>I60+K59</f>
        <v>1181</v>
      </c>
      <c r="M58" s="14"/>
      <c r="N58" s="19">
        <f>K60+M59</f>
        <v>1630</v>
      </c>
      <c r="O58" s="14"/>
      <c r="P58" s="14"/>
      <c r="Q58" s="14"/>
      <c r="R58" s="29">
        <f>M60+Q59</f>
        <v>2182</v>
      </c>
      <c r="S58" s="20"/>
    </row>
    <row r="59" spans="1:19" ht="14.25" customHeight="1">
      <c r="A59" s="32"/>
      <c r="B59" s="131"/>
      <c r="C59" s="174" t="s">
        <v>249</v>
      </c>
      <c r="D59" s="11"/>
      <c r="E59" s="25">
        <f>R57</f>
        <v>2182</v>
      </c>
      <c r="F59" s="26">
        <v>39</v>
      </c>
      <c r="G59" s="39">
        <f>IF(G57=0,0,VLOOKUP(G57,Tables!$A$3:$B$152,2,TRUE))</f>
        <v>341</v>
      </c>
      <c r="H59" s="35">
        <f>G59</f>
        <v>341</v>
      </c>
      <c r="I59" s="17">
        <f>ROUNDDOWN(56.0211*(I57-1.5)^1.05,0)</f>
        <v>471</v>
      </c>
      <c r="J59" s="35">
        <f>G60+I59</f>
        <v>812</v>
      </c>
      <c r="K59" s="17">
        <f>ROUNDDOWN(0.188807*(100*K57-210)^1.41,0)</f>
        <v>369</v>
      </c>
      <c r="L59" s="35">
        <f>I60+K59</f>
        <v>1181</v>
      </c>
      <c r="M59" s="17">
        <f>ROUNDDOWN(1.84523*(100*M57-75)^1.348,0)</f>
        <v>449</v>
      </c>
      <c r="N59" s="19">
        <f>K60+M59</f>
        <v>1630</v>
      </c>
      <c r="O59" s="14"/>
      <c r="P59" s="14"/>
      <c r="Q59" s="23">
        <f>IF(O57+Q57=0,0,TRUNC(0.11193*((254-(O57*60+Q57))^1.88)))</f>
        <v>552</v>
      </c>
      <c r="R59" s="29">
        <f>M60+Q59</f>
        <v>2182</v>
      </c>
      <c r="S59" s="20"/>
    </row>
    <row r="60" spans="1:19" ht="14.25" customHeight="1">
      <c r="A60" s="33"/>
      <c r="B60" s="76"/>
      <c r="C60" s="8"/>
      <c r="D60" s="8"/>
      <c r="E60" s="8"/>
      <c r="F60" s="26">
        <v>40</v>
      </c>
      <c r="G60" s="40">
        <f>G59</f>
        <v>341</v>
      </c>
      <c r="H60" s="36">
        <f>G59</f>
        <v>341</v>
      </c>
      <c r="I60" s="15">
        <f>G60+I59</f>
        <v>812</v>
      </c>
      <c r="J60" s="35">
        <f>G60+I59</f>
        <v>812</v>
      </c>
      <c r="K60" s="24">
        <f>I60+K59</f>
        <v>1181</v>
      </c>
      <c r="L60" s="35">
        <f>I60+K59</f>
        <v>1181</v>
      </c>
      <c r="M60" s="15">
        <f>K60+M59</f>
        <v>1630</v>
      </c>
      <c r="N60" s="19">
        <f>K60+M59</f>
        <v>1630</v>
      </c>
      <c r="O60" s="15"/>
      <c r="P60" s="15"/>
      <c r="Q60" s="24">
        <f>M60+Q59</f>
        <v>2182</v>
      </c>
      <c r="R60" s="29">
        <f>M60+Q59</f>
        <v>2182</v>
      </c>
      <c r="S60" s="20"/>
    </row>
    <row r="61" spans="1:19" ht="14.25" customHeight="1">
      <c r="A61" s="31"/>
      <c r="B61" s="73"/>
      <c r="C61" s="180">
        <v>802</v>
      </c>
      <c r="D61" s="155" t="s">
        <v>246</v>
      </c>
      <c r="E61" s="136" t="s">
        <v>550</v>
      </c>
      <c r="F61" s="10">
        <v>53</v>
      </c>
      <c r="G61" s="102">
        <v>15.4</v>
      </c>
      <c r="H61" s="34">
        <f>G63</f>
        <v>446</v>
      </c>
      <c r="I61" s="101">
        <v>5.87</v>
      </c>
      <c r="J61" s="34">
        <f>G64+I63</f>
        <v>709</v>
      </c>
      <c r="K61" s="101">
        <v>4.11</v>
      </c>
      <c r="L61" s="34">
        <f>I64+K63</f>
        <v>1042</v>
      </c>
      <c r="M61" s="101">
        <v>1.43</v>
      </c>
      <c r="N61" s="27">
        <f>K64+M63</f>
        <v>1586</v>
      </c>
      <c r="O61" s="122">
        <v>2</v>
      </c>
      <c r="P61" s="19" t="s">
        <v>25</v>
      </c>
      <c r="Q61" s="172" t="s">
        <v>530</v>
      </c>
      <c r="R61" s="28">
        <f>M64+Q63</f>
        <v>2117</v>
      </c>
      <c r="S61" s="20"/>
    </row>
    <row r="62" spans="1:19" ht="14.25" customHeight="1">
      <c r="A62" s="32">
        <v>13</v>
      </c>
      <c r="B62" s="74"/>
      <c r="E62" s="10"/>
      <c r="F62" s="26">
        <v>54</v>
      </c>
      <c r="G62" s="85"/>
      <c r="H62" s="35">
        <f>G63</f>
        <v>446</v>
      </c>
      <c r="I62" s="14"/>
      <c r="J62" s="35">
        <f>G64+I63</f>
        <v>709</v>
      </c>
      <c r="K62" s="85"/>
      <c r="L62" s="35">
        <f>I64+K63</f>
        <v>1042</v>
      </c>
      <c r="M62" s="14"/>
      <c r="N62" s="19">
        <f>K64+M63</f>
        <v>1586</v>
      </c>
      <c r="O62" s="14"/>
      <c r="P62" s="14"/>
      <c r="Q62" s="14"/>
      <c r="R62" s="29">
        <f>M64+Q63</f>
        <v>2117</v>
      </c>
      <c r="S62" s="20"/>
    </row>
    <row r="63" spans="1:19" ht="14.25" customHeight="1">
      <c r="A63" s="32"/>
      <c r="B63" s="131"/>
      <c r="C63" s="11" t="s">
        <v>250</v>
      </c>
      <c r="D63" s="11"/>
      <c r="E63" s="25">
        <f>R61</f>
        <v>2117</v>
      </c>
      <c r="F63" s="26">
        <v>55</v>
      </c>
      <c r="G63" s="39">
        <f>IF(G61=0,0,VLOOKUP(G61,Tables!$A$3:$B$152,2,TRUE))</f>
        <v>446</v>
      </c>
      <c r="H63" s="35">
        <f>G63</f>
        <v>446</v>
      </c>
      <c r="I63" s="17">
        <f>ROUNDDOWN(56.0211*(I61-1.5)^1.05,0)</f>
        <v>263</v>
      </c>
      <c r="J63" s="35">
        <f>G64+I63</f>
        <v>709</v>
      </c>
      <c r="K63" s="17">
        <f>ROUNDDOWN(0.188807*(100*K61-210)^1.41,0)</f>
        <v>333</v>
      </c>
      <c r="L63" s="35">
        <f>I64+K63</f>
        <v>1042</v>
      </c>
      <c r="M63" s="17">
        <f>ROUNDDOWN(1.84523*(100*M61-75)^1.348,0)</f>
        <v>544</v>
      </c>
      <c r="N63" s="19">
        <f>K64+M63</f>
        <v>1586</v>
      </c>
      <c r="O63" s="14"/>
      <c r="P63" s="14"/>
      <c r="Q63" s="23">
        <f>IF(O61+Q61=0,0,TRUNC(0.11193*((254-(O61*60+Q61))^1.88)))</f>
        <v>531</v>
      </c>
      <c r="R63" s="29">
        <f>M64+Q63</f>
        <v>2117</v>
      </c>
      <c r="S63" s="20"/>
    </row>
    <row r="64" spans="1:19" ht="14.25" customHeight="1">
      <c r="A64" s="33"/>
      <c r="B64" s="76"/>
      <c r="C64" s="8"/>
      <c r="D64" s="8"/>
      <c r="E64" s="8"/>
      <c r="F64" s="10">
        <v>56</v>
      </c>
      <c r="G64" s="40">
        <f>G63</f>
        <v>446</v>
      </c>
      <c r="H64" s="36">
        <f>G63</f>
        <v>446</v>
      </c>
      <c r="I64" s="15">
        <f>G64+I63</f>
        <v>709</v>
      </c>
      <c r="J64" s="35">
        <f>G64+I63</f>
        <v>709</v>
      </c>
      <c r="K64" s="24">
        <f>I64+K63</f>
        <v>1042</v>
      </c>
      <c r="L64" s="35">
        <f>I64+K63</f>
        <v>1042</v>
      </c>
      <c r="M64" s="15">
        <f>K64+M63</f>
        <v>1586</v>
      </c>
      <c r="N64" s="19">
        <f>K64+M63</f>
        <v>1586</v>
      </c>
      <c r="O64" s="15"/>
      <c r="P64" s="15"/>
      <c r="Q64" s="24">
        <f>M64+Q63</f>
        <v>2117</v>
      </c>
      <c r="R64" s="29">
        <f>M64+Q63</f>
        <v>2117</v>
      </c>
      <c r="S64" s="20"/>
    </row>
    <row r="65" spans="1:19" ht="14.25" customHeight="1">
      <c r="A65" s="31"/>
      <c r="B65" s="73"/>
      <c r="C65" s="181">
        <v>789</v>
      </c>
      <c r="D65" s="130" t="s">
        <v>234</v>
      </c>
      <c r="E65" s="91" t="s">
        <v>551</v>
      </c>
      <c r="F65" s="26">
        <v>1</v>
      </c>
      <c r="G65" s="82">
        <v>15.3</v>
      </c>
      <c r="H65" s="34">
        <f>G67</f>
        <v>454</v>
      </c>
      <c r="I65" s="83">
        <v>7.29</v>
      </c>
      <c r="J65" s="34">
        <f>G68+I67</f>
        <v>808</v>
      </c>
      <c r="K65" s="83">
        <v>3.59</v>
      </c>
      <c r="L65" s="34">
        <f>I68+K67</f>
        <v>1026</v>
      </c>
      <c r="M65" s="83">
        <v>1.34</v>
      </c>
      <c r="N65" s="27">
        <f>K68+M67</f>
        <v>1475</v>
      </c>
      <c r="O65" s="84">
        <v>3</v>
      </c>
      <c r="P65" s="7" t="s">
        <v>25</v>
      </c>
      <c r="Q65" s="184" t="s">
        <v>532</v>
      </c>
      <c r="R65" s="28">
        <f>M68+Q67</f>
        <v>1761</v>
      </c>
      <c r="S65" s="20"/>
    </row>
    <row r="66" spans="1:19" ht="14.25" customHeight="1">
      <c r="A66" s="32">
        <v>14</v>
      </c>
      <c r="B66" s="74"/>
      <c r="E66" s="10"/>
      <c r="F66" s="10">
        <v>2</v>
      </c>
      <c r="G66" s="85"/>
      <c r="H66" s="35">
        <f>G67</f>
        <v>454</v>
      </c>
      <c r="I66" s="14"/>
      <c r="J66" s="35">
        <f>G68+I67</f>
        <v>808</v>
      </c>
      <c r="K66" s="85"/>
      <c r="L66" s="35">
        <f>I68+K67</f>
        <v>1026</v>
      </c>
      <c r="M66" s="14"/>
      <c r="N66" s="19">
        <f>K68+M67</f>
        <v>1475</v>
      </c>
      <c r="O66" s="14"/>
      <c r="P66" s="14"/>
      <c r="Q66" s="14"/>
      <c r="R66" s="29">
        <f>M68+Q67</f>
        <v>1761</v>
      </c>
      <c r="S66" s="20"/>
    </row>
    <row r="67" spans="1:23" ht="14.25" customHeight="1">
      <c r="A67" s="32"/>
      <c r="B67" s="131"/>
      <c r="C67" s="11" t="s">
        <v>103</v>
      </c>
      <c r="D67" s="11"/>
      <c r="E67" s="25">
        <f>R65</f>
        <v>1761</v>
      </c>
      <c r="F67" s="26">
        <v>3</v>
      </c>
      <c r="G67" s="39">
        <f>IF(G65=0,0,VLOOKUP(G65,Tables!$A$3:$B$152,2,TRUE))</f>
        <v>454</v>
      </c>
      <c r="H67" s="35">
        <f>G67</f>
        <v>454</v>
      </c>
      <c r="I67" s="17">
        <f>ROUNDDOWN(56.0211*(I65-1.5)^1.05,0)</f>
        <v>354</v>
      </c>
      <c r="J67" s="35">
        <f>G68+I67</f>
        <v>808</v>
      </c>
      <c r="K67" s="17">
        <f>ROUNDDOWN(0.188807*(100*K65-210)^1.41,0)</f>
        <v>218</v>
      </c>
      <c r="L67" s="35">
        <f>I68+K67</f>
        <v>1026</v>
      </c>
      <c r="M67" s="17">
        <f>ROUNDDOWN(1.84523*(100*M65-75)^1.348,0)</f>
        <v>449</v>
      </c>
      <c r="N67" s="19">
        <f>K68+M67</f>
        <v>1475</v>
      </c>
      <c r="O67" s="14"/>
      <c r="P67" s="14"/>
      <c r="Q67" s="23">
        <f>IF(O65+Q65=0,0,TRUNC(0.11193*((254-(O65*60+Q65))^1.88)))</f>
        <v>286</v>
      </c>
      <c r="R67" s="29">
        <f>M68+Q67</f>
        <v>1761</v>
      </c>
      <c r="S67" s="121"/>
      <c r="T67" s="12"/>
      <c r="V67" s="12"/>
      <c r="W67" s="12"/>
    </row>
    <row r="68" spans="1:23" ht="14.25" customHeight="1">
      <c r="A68" s="33"/>
      <c r="B68" s="76"/>
      <c r="C68" s="8"/>
      <c r="D68" s="8"/>
      <c r="E68" s="8"/>
      <c r="F68" s="26">
        <v>4</v>
      </c>
      <c r="G68" s="40">
        <f>G67</f>
        <v>454</v>
      </c>
      <c r="H68" s="36">
        <f>G67</f>
        <v>454</v>
      </c>
      <c r="I68" s="15">
        <f>G68+I67</f>
        <v>808</v>
      </c>
      <c r="J68" s="35">
        <f>G68+I67</f>
        <v>808</v>
      </c>
      <c r="K68" s="24">
        <f>I68+K67</f>
        <v>1026</v>
      </c>
      <c r="L68" s="35">
        <f>I68+K67</f>
        <v>1026</v>
      </c>
      <c r="M68" s="15">
        <f>K68+M67</f>
        <v>1475</v>
      </c>
      <c r="N68" s="19">
        <f>K68+M67</f>
        <v>1475</v>
      </c>
      <c r="O68" s="15"/>
      <c r="P68" s="15"/>
      <c r="Q68" s="24">
        <f>M68+Q67</f>
        <v>1761</v>
      </c>
      <c r="R68" s="29">
        <f>M68+Q67</f>
        <v>1761</v>
      </c>
      <c r="S68" s="19"/>
      <c r="T68" s="7"/>
      <c r="V68" s="7"/>
      <c r="W68" s="7"/>
    </row>
    <row r="69" spans="1:23" ht="14.25" customHeight="1">
      <c r="A69" s="31"/>
      <c r="B69" s="73"/>
      <c r="C69" s="180">
        <v>793</v>
      </c>
      <c r="D69" s="155" t="s">
        <v>238</v>
      </c>
      <c r="E69" s="136" t="s">
        <v>552</v>
      </c>
      <c r="F69" s="10">
        <v>17</v>
      </c>
      <c r="G69" s="102">
        <v>16.4</v>
      </c>
      <c r="H69" s="34">
        <f>G71</f>
        <v>369</v>
      </c>
      <c r="I69" s="101">
        <v>9.18</v>
      </c>
      <c r="J69" s="34">
        <f>G72+I71</f>
        <v>845</v>
      </c>
      <c r="K69" s="101">
        <v>3.54</v>
      </c>
      <c r="L69" s="34">
        <f>I72+K71</f>
        <v>1053</v>
      </c>
      <c r="M69" s="101">
        <v>1.25</v>
      </c>
      <c r="N69" s="27">
        <f>K72+M71</f>
        <v>1412</v>
      </c>
      <c r="O69" s="122">
        <v>3</v>
      </c>
      <c r="P69" s="19" t="s">
        <v>25</v>
      </c>
      <c r="Q69" s="172" t="s">
        <v>533</v>
      </c>
      <c r="R69" s="28">
        <f>M72+Q71</f>
        <v>1678</v>
      </c>
      <c r="S69" s="19"/>
      <c r="T69" s="7"/>
      <c r="V69" s="7"/>
      <c r="W69" s="7"/>
    </row>
    <row r="70" spans="1:23" ht="14.25" customHeight="1">
      <c r="A70" s="32">
        <v>15</v>
      </c>
      <c r="B70" s="74"/>
      <c r="E70" s="10"/>
      <c r="F70" s="26">
        <v>18</v>
      </c>
      <c r="G70" s="85"/>
      <c r="H70" s="35">
        <f>G71</f>
        <v>369</v>
      </c>
      <c r="I70" s="14"/>
      <c r="J70" s="35">
        <f>G72+I71</f>
        <v>845</v>
      </c>
      <c r="K70" s="85"/>
      <c r="L70" s="35">
        <f>I72+K71</f>
        <v>1053</v>
      </c>
      <c r="M70" s="14"/>
      <c r="N70" s="19">
        <f>K72+M71</f>
        <v>1412</v>
      </c>
      <c r="O70" s="14"/>
      <c r="P70" s="14"/>
      <c r="Q70" s="14"/>
      <c r="R70" s="29">
        <f>M72+Q71</f>
        <v>1678</v>
      </c>
      <c r="S70" s="19"/>
      <c r="T70" s="19"/>
      <c r="V70" s="19"/>
      <c r="W70" s="19"/>
    </row>
    <row r="71" spans="1:23" ht="14.25" customHeight="1">
      <c r="A71" s="32"/>
      <c r="B71" s="131"/>
      <c r="C71" s="95" t="s">
        <v>141</v>
      </c>
      <c r="D71" s="11"/>
      <c r="E71" s="25">
        <f>R69</f>
        <v>1678</v>
      </c>
      <c r="F71" s="26">
        <v>19</v>
      </c>
      <c r="G71" s="39">
        <f>IF(G69=0,0,VLOOKUP(G69,Tables!$A$3:$B$152,2,TRUE))</f>
        <v>369</v>
      </c>
      <c r="H71" s="35">
        <f>G71</f>
        <v>369</v>
      </c>
      <c r="I71" s="17">
        <f>ROUNDDOWN(56.0211*(I69-1.5)^1.05,0)</f>
        <v>476</v>
      </c>
      <c r="J71" s="35">
        <f>G72+I71</f>
        <v>845</v>
      </c>
      <c r="K71" s="17">
        <f>ROUNDDOWN(0.188807*(100*K69-210)^1.41,0)</f>
        <v>208</v>
      </c>
      <c r="L71" s="35">
        <f>I72+K71</f>
        <v>1053</v>
      </c>
      <c r="M71" s="17">
        <f>ROUNDDOWN(1.84523*(100*M69-75)^1.348,0)</f>
        <v>359</v>
      </c>
      <c r="N71" s="19">
        <f>K72+M71</f>
        <v>1412</v>
      </c>
      <c r="O71" s="14"/>
      <c r="P71" s="14"/>
      <c r="Q71" s="23">
        <f>IF(O69+Q69=0,0,TRUNC(0.11193*((254-(O69*60+Q69))^1.88)))</f>
        <v>266</v>
      </c>
      <c r="R71" s="29">
        <f>M72+Q71</f>
        <v>1678</v>
      </c>
      <c r="S71" s="18"/>
      <c r="T71" s="18"/>
      <c r="V71" s="18"/>
      <c r="W71" s="18"/>
    </row>
    <row r="72" spans="1:23" ht="14.25" customHeight="1">
      <c r="A72" s="33"/>
      <c r="B72" s="76"/>
      <c r="C72" s="8"/>
      <c r="D72" s="8"/>
      <c r="E72" s="8"/>
      <c r="F72" s="10">
        <v>20</v>
      </c>
      <c r="G72" s="40">
        <f>G71</f>
        <v>369</v>
      </c>
      <c r="H72" s="36">
        <f>G71</f>
        <v>369</v>
      </c>
      <c r="I72" s="15">
        <f>G72+I71</f>
        <v>845</v>
      </c>
      <c r="J72" s="35">
        <f>G72+I71</f>
        <v>845</v>
      </c>
      <c r="K72" s="24">
        <f>I72+K71</f>
        <v>1053</v>
      </c>
      <c r="L72" s="35">
        <f>I72+K71</f>
        <v>1053</v>
      </c>
      <c r="M72" s="15">
        <f>K72+M71</f>
        <v>1412</v>
      </c>
      <c r="N72" s="19">
        <f>K72+M71</f>
        <v>1412</v>
      </c>
      <c r="O72" s="15"/>
      <c r="P72" s="15"/>
      <c r="Q72" s="24">
        <f>M72+Q71</f>
        <v>1678</v>
      </c>
      <c r="R72" s="29">
        <f>M72+Q71</f>
        <v>1678</v>
      </c>
      <c r="S72" s="18"/>
      <c r="T72" s="18"/>
      <c r="U72" s="38"/>
      <c r="V72" s="18"/>
      <c r="W72" s="18"/>
    </row>
    <row r="73" spans="1:23" ht="14.25" customHeight="1">
      <c r="A73" s="31"/>
      <c r="B73" s="73"/>
      <c r="C73" s="180">
        <v>800</v>
      </c>
      <c r="D73" s="155" t="s">
        <v>244</v>
      </c>
      <c r="E73" s="136" t="s">
        <v>553</v>
      </c>
      <c r="F73" s="26">
        <v>45</v>
      </c>
      <c r="G73" s="102">
        <v>16.4</v>
      </c>
      <c r="H73" s="34">
        <f>G75</f>
        <v>369</v>
      </c>
      <c r="I73" s="101">
        <v>6.39</v>
      </c>
      <c r="J73" s="34">
        <f>G76+I75</f>
        <v>665</v>
      </c>
      <c r="K73" s="101">
        <v>3.69</v>
      </c>
      <c r="L73" s="34">
        <f>I76+K75</f>
        <v>904</v>
      </c>
      <c r="M73" s="203" t="s">
        <v>331</v>
      </c>
      <c r="N73" s="27">
        <f>K76+M75</f>
        <v>904</v>
      </c>
      <c r="O73" s="122"/>
      <c r="P73" s="19" t="s">
        <v>25</v>
      </c>
      <c r="Q73" s="172"/>
      <c r="R73" s="28">
        <f>M76+Q75</f>
        <v>904</v>
      </c>
      <c r="S73" s="18"/>
      <c r="T73" s="18"/>
      <c r="V73" s="18"/>
      <c r="W73" s="18"/>
    </row>
    <row r="74" spans="1:23" ht="14.25" customHeight="1">
      <c r="A74" s="32">
        <v>16</v>
      </c>
      <c r="B74" s="74"/>
      <c r="E74" s="10"/>
      <c r="F74" s="26">
        <v>46</v>
      </c>
      <c r="G74" s="85"/>
      <c r="H74" s="35">
        <f>G75</f>
        <v>369</v>
      </c>
      <c r="I74" s="14"/>
      <c r="J74" s="35">
        <f>G76+I75</f>
        <v>665</v>
      </c>
      <c r="K74" s="85"/>
      <c r="L74" s="35">
        <f>I76+K75</f>
        <v>904</v>
      </c>
      <c r="M74" s="14"/>
      <c r="N74" s="19">
        <f>K76+M75</f>
        <v>904</v>
      </c>
      <c r="O74" s="14"/>
      <c r="P74" s="14"/>
      <c r="Q74" s="14"/>
      <c r="R74" s="29">
        <f>M76+Q75</f>
        <v>904</v>
      </c>
      <c r="S74" s="18"/>
      <c r="T74" s="18"/>
      <c r="V74" s="18"/>
      <c r="W74" s="18"/>
    </row>
    <row r="75" spans="1:23" ht="14.25" customHeight="1">
      <c r="A75" s="32"/>
      <c r="B75" s="131"/>
      <c r="C75" s="95" t="s">
        <v>225</v>
      </c>
      <c r="D75" s="11"/>
      <c r="E75" s="25">
        <f>R73</f>
        <v>904</v>
      </c>
      <c r="F75" s="10">
        <v>47</v>
      </c>
      <c r="G75" s="39">
        <f>IF(G73=0,0,VLOOKUP(G73,Tables!$A$3:$B$152,2,TRUE))</f>
        <v>369</v>
      </c>
      <c r="H75" s="35">
        <f>G75</f>
        <v>369</v>
      </c>
      <c r="I75" s="17">
        <f>ROUNDDOWN(56.0211*(I73-1.5)^1.05,0)</f>
        <v>296</v>
      </c>
      <c r="J75" s="35">
        <f>G76+I75</f>
        <v>665</v>
      </c>
      <c r="K75" s="17">
        <f>ROUNDDOWN(0.188807*(100*K73-210)^1.41,0)</f>
        <v>239</v>
      </c>
      <c r="L75" s="35">
        <f>I76+K75</f>
        <v>904</v>
      </c>
      <c r="M75" s="17">
        <v>0</v>
      </c>
      <c r="N75" s="19">
        <f>K76+M75</f>
        <v>904</v>
      </c>
      <c r="O75" s="14"/>
      <c r="P75" s="14"/>
      <c r="Q75" s="23">
        <f>IF(O73+Q73=0,0,TRUNC(0.11193*((254-(O73*60+Q73))^1.88)))</f>
        <v>0</v>
      </c>
      <c r="R75" s="29">
        <f>M76+Q75</f>
        <v>904</v>
      </c>
      <c r="S75" s="20"/>
      <c r="T75" s="20"/>
      <c r="U75" s="16"/>
      <c r="V75" s="20"/>
      <c r="W75" s="20"/>
    </row>
    <row r="76" spans="1:19" ht="14.25" customHeight="1">
      <c r="A76" s="33"/>
      <c r="B76" s="76"/>
      <c r="C76" s="8"/>
      <c r="D76" s="8"/>
      <c r="E76" s="8"/>
      <c r="F76" s="26">
        <v>48</v>
      </c>
      <c r="G76" s="40">
        <f>G75</f>
        <v>369</v>
      </c>
      <c r="H76" s="36">
        <f>G75</f>
        <v>369</v>
      </c>
      <c r="I76" s="15">
        <f>G76+I75</f>
        <v>665</v>
      </c>
      <c r="J76" s="35">
        <f>G76+I75</f>
        <v>665</v>
      </c>
      <c r="K76" s="24">
        <f>I76+K75</f>
        <v>904</v>
      </c>
      <c r="L76" s="35">
        <f>I76+K75</f>
        <v>904</v>
      </c>
      <c r="M76" s="15">
        <f>K76+M75</f>
        <v>904</v>
      </c>
      <c r="N76" s="19">
        <f>K76+M75</f>
        <v>904</v>
      </c>
      <c r="O76" s="15"/>
      <c r="P76" s="15"/>
      <c r="Q76" s="24">
        <f>M76+Q75</f>
        <v>904</v>
      </c>
      <c r="R76" s="29">
        <f>M76+Q75</f>
        <v>904</v>
      </c>
      <c r="S76" s="20"/>
    </row>
    <row r="77" spans="1:19" ht="14.25" customHeight="1">
      <c r="A77" s="97"/>
      <c r="B77" s="111"/>
      <c r="C77" s="95"/>
      <c r="D77" s="95"/>
      <c r="E77" s="108"/>
      <c r="F77" s="109"/>
      <c r="G77" s="17"/>
      <c r="H77" s="35"/>
      <c r="I77" s="39"/>
      <c r="J77" s="35"/>
      <c r="K77" s="17"/>
      <c r="L77" s="18"/>
      <c r="M77" s="17"/>
      <c r="N77" s="19"/>
      <c r="O77" s="18"/>
      <c r="P77" s="18"/>
      <c r="Q77" s="23"/>
      <c r="R77" s="29"/>
      <c r="S77" s="20"/>
    </row>
    <row r="78" spans="1:23" ht="14.25" customHeight="1">
      <c r="A78" s="97"/>
      <c r="B78" s="81"/>
      <c r="C78" s="20"/>
      <c r="D78" s="20"/>
      <c r="E78" s="148" t="s">
        <v>72</v>
      </c>
      <c r="G78" s="147">
        <v>2355</v>
      </c>
      <c r="I78" s="149" t="s">
        <v>78</v>
      </c>
      <c r="J78" s="35"/>
      <c r="K78" s="18"/>
      <c r="L78" s="18"/>
      <c r="M78" s="18"/>
      <c r="N78" s="19"/>
      <c r="O78" s="18"/>
      <c r="P78" s="18"/>
      <c r="Q78" s="18"/>
      <c r="R78" s="29"/>
      <c r="S78" s="20"/>
      <c r="W78" s="22"/>
    </row>
    <row r="79" spans="1:19" ht="14.25" customHeight="1">
      <c r="A79" s="6" t="s">
        <v>59</v>
      </c>
      <c r="B79" s="6"/>
      <c r="E79" s="151" t="s">
        <v>0</v>
      </c>
      <c r="G79" s="151">
        <v>2355</v>
      </c>
      <c r="H79" s="41"/>
      <c r="I79" s="150" t="s">
        <v>78</v>
      </c>
      <c r="S79" s="20"/>
    </row>
    <row r="80" spans="1:20" ht="12.75" customHeight="1">
      <c r="A80" s="41" t="s">
        <v>29</v>
      </c>
      <c r="B80" s="41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20"/>
      <c r="T80" s="16"/>
    </row>
    <row r="81" spans="5:19" ht="14.25" customHeight="1">
      <c r="E81" s="16"/>
      <c r="F81" s="16"/>
      <c r="G81" s="13" t="s">
        <v>27</v>
      </c>
      <c r="H81" s="42"/>
      <c r="I81" s="13" t="s">
        <v>14</v>
      </c>
      <c r="J81" s="13"/>
      <c r="K81" s="13" t="s">
        <v>17</v>
      </c>
      <c r="L81" s="42"/>
      <c r="M81" s="13" t="s">
        <v>18</v>
      </c>
      <c r="N81" s="13"/>
      <c r="O81" s="13"/>
      <c r="P81" s="13"/>
      <c r="Q81" s="13" t="s">
        <v>15</v>
      </c>
      <c r="R81" s="13"/>
      <c r="S81" s="20"/>
    </row>
    <row r="82" spans="1:19" ht="14.25" customHeight="1">
      <c r="A82" s="13" t="s">
        <v>1</v>
      </c>
      <c r="C82" s="62" t="s">
        <v>21</v>
      </c>
      <c r="D82" s="11" t="s">
        <v>9</v>
      </c>
      <c r="E82" s="60" t="s">
        <v>20</v>
      </c>
      <c r="F82" s="16"/>
      <c r="G82" s="21" t="s">
        <v>22</v>
      </c>
      <c r="H82" s="45"/>
      <c r="I82" s="21" t="s">
        <v>23</v>
      </c>
      <c r="J82" s="12"/>
      <c r="K82" s="21" t="s">
        <v>23</v>
      </c>
      <c r="L82" s="45"/>
      <c r="M82" s="21" t="s">
        <v>24</v>
      </c>
      <c r="N82" s="12"/>
      <c r="O82" s="12"/>
      <c r="P82" s="12"/>
      <c r="Q82" s="21" t="s">
        <v>22</v>
      </c>
      <c r="R82" s="12"/>
      <c r="S82" s="20"/>
    </row>
    <row r="83" spans="1:19" ht="14.25" customHeight="1">
      <c r="A83" s="13" t="s">
        <v>2</v>
      </c>
      <c r="B83" s="58" t="s">
        <v>37</v>
      </c>
      <c r="E83" s="10"/>
      <c r="F83" s="46"/>
      <c r="G83" s="14" t="s">
        <v>11</v>
      </c>
      <c r="H83" s="48"/>
      <c r="I83" s="14"/>
      <c r="J83" s="7"/>
      <c r="K83" s="14" t="s">
        <v>11</v>
      </c>
      <c r="L83" s="48"/>
      <c r="M83" s="14"/>
      <c r="N83" s="7"/>
      <c r="O83" s="7"/>
      <c r="P83" s="7"/>
      <c r="Q83" s="14"/>
      <c r="R83" s="7"/>
      <c r="S83" s="20"/>
    </row>
    <row r="84" spans="2:19" ht="12.75" customHeight="1">
      <c r="B84" s="58" t="s">
        <v>2</v>
      </c>
      <c r="C84" s="11" t="s">
        <v>10</v>
      </c>
      <c r="E84" s="61" t="s">
        <v>19</v>
      </c>
      <c r="F84" s="48"/>
      <c r="G84" s="14" t="s">
        <v>12</v>
      </c>
      <c r="H84" s="48"/>
      <c r="I84" s="14" t="s">
        <v>12</v>
      </c>
      <c r="J84" s="7"/>
      <c r="K84" s="14" t="s">
        <v>12</v>
      </c>
      <c r="L84" s="48"/>
      <c r="M84" s="14" t="s">
        <v>12</v>
      </c>
      <c r="N84" s="7"/>
      <c r="O84" s="7"/>
      <c r="P84" s="7"/>
      <c r="Q84" s="14" t="s">
        <v>12</v>
      </c>
      <c r="R84" s="7"/>
      <c r="S84" s="20"/>
    </row>
    <row r="85" spans="1:19" ht="14.25" customHeight="1">
      <c r="A85" s="8"/>
      <c r="B85" s="8"/>
      <c r="C85" s="8"/>
      <c r="D85" s="8"/>
      <c r="E85" s="8"/>
      <c r="F85" s="49"/>
      <c r="G85" s="15" t="s">
        <v>13</v>
      </c>
      <c r="H85" s="50"/>
      <c r="I85" s="15" t="s">
        <v>13</v>
      </c>
      <c r="J85" s="9"/>
      <c r="K85" s="15" t="s">
        <v>13</v>
      </c>
      <c r="L85" s="50"/>
      <c r="M85" s="15" t="s">
        <v>13</v>
      </c>
      <c r="N85" s="9"/>
      <c r="O85" s="9"/>
      <c r="P85" s="9"/>
      <c r="Q85" s="15" t="s">
        <v>13</v>
      </c>
      <c r="R85" s="9"/>
      <c r="S85" s="20"/>
    </row>
    <row r="86" spans="1:19" ht="14.25" customHeight="1">
      <c r="A86" s="31"/>
      <c r="B86" s="73"/>
      <c r="C86" s="181">
        <v>805</v>
      </c>
      <c r="D86" s="130" t="s">
        <v>252</v>
      </c>
      <c r="E86" s="143" t="s">
        <v>301</v>
      </c>
      <c r="F86" s="51">
        <v>1</v>
      </c>
      <c r="G86" s="82">
        <v>17.6</v>
      </c>
      <c r="H86" s="34">
        <f>G88</f>
        <v>505</v>
      </c>
      <c r="I86" s="83">
        <v>7.4</v>
      </c>
      <c r="J86" s="34">
        <f>G89+I88</f>
        <v>866</v>
      </c>
      <c r="K86" s="83">
        <v>3.89</v>
      </c>
      <c r="L86" s="34">
        <f>I89+K88</f>
        <v>1149</v>
      </c>
      <c r="M86" s="83">
        <v>1.49</v>
      </c>
      <c r="N86" s="27">
        <f>K89+M88</f>
        <v>1759</v>
      </c>
      <c r="O86" s="84"/>
      <c r="P86" s="7" t="s">
        <v>25</v>
      </c>
      <c r="Q86" s="184" t="s">
        <v>468</v>
      </c>
      <c r="R86" s="28">
        <f>M89+Q88</f>
        <v>1759</v>
      </c>
      <c r="S86" s="20"/>
    </row>
    <row r="87" spans="1:19" ht="14.25" customHeight="1">
      <c r="A87" s="32">
        <v>1</v>
      </c>
      <c r="B87" s="74"/>
      <c r="E87" s="10"/>
      <c r="F87" s="46">
        <v>2</v>
      </c>
      <c r="G87" s="85"/>
      <c r="H87" s="35">
        <f>G88</f>
        <v>505</v>
      </c>
      <c r="I87" s="14"/>
      <c r="J87" s="35">
        <f>G89+I88</f>
        <v>866</v>
      </c>
      <c r="K87" s="85"/>
      <c r="L87" s="35">
        <f>I89+K88</f>
        <v>1149</v>
      </c>
      <c r="M87" s="14"/>
      <c r="N87" s="19">
        <f>K89+M88</f>
        <v>1759</v>
      </c>
      <c r="O87" s="14"/>
      <c r="P87" s="14"/>
      <c r="Q87" s="14"/>
      <c r="R87" s="29">
        <f>M89+Q88</f>
        <v>1759</v>
      </c>
      <c r="S87" s="20"/>
    </row>
    <row r="88" spans="1:19" ht="12.75" customHeight="1">
      <c r="A88" s="152"/>
      <c r="B88" s="92">
        <v>1</v>
      </c>
      <c r="C88" s="11" t="s">
        <v>178</v>
      </c>
      <c r="D88" s="11"/>
      <c r="E88" s="25">
        <f>R89</f>
        <v>1759</v>
      </c>
      <c r="F88" s="53">
        <v>3</v>
      </c>
      <c r="G88" s="39">
        <f>IF(G86=0,0,TRUNC(9.23076*((26.46-G86)^1.835)))</f>
        <v>505</v>
      </c>
      <c r="H88" s="35">
        <f>G88</f>
        <v>505</v>
      </c>
      <c r="I88" s="17">
        <f>ROUNDDOWN(56.0211*(I86-1.5)^1.05,0)</f>
        <v>361</v>
      </c>
      <c r="J88" s="35">
        <f>G89+I88</f>
        <v>866</v>
      </c>
      <c r="K88" s="17">
        <f>ROUNDDOWN(0.188807*(100*K86-210)^1.41,0)</f>
        <v>283</v>
      </c>
      <c r="L88" s="35">
        <f>I89+K88</f>
        <v>1149</v>
      </c>
      <c r="M88" s="17">
        <f>ROUNDDOWN(1.84523*(100*M86-75)^1.348,0)</f>
        <v>610</v>
      </c>
      <c r="N88" s="19">
        <f>K89+M88</f>
        <v>1759</v>
      </c>
      <c r="O88" s="14"/>
      <c r="P88" s="14"/>
      <c r="Q88" s="23">
        <v>0</v>
      </c>
      <c r="R88" s="29">
        <f>M89+Q88</f>
        <v>1759</v>
      </c>
      <c r="S88" s="20"/>
    </row>
    <row r="89" spans="1:19" ht="14.25" customHeight="1">
      <c r="A89" s="33"/>
      <c r="B89" s="153"/>
      <c r="C89" s="8"/>
      <c r="D89" s="8"/>
      <c r="E89" s="8"/>
      <c r="F89" s="54">
        <v>4</v>
      </c>
      <c r="G89" s="24">
        <f>G88</f>
        <v>505</v>
      </c>
      <c r="H89" s="36">
        <f>G88</f>
        <v>505</v>
      </c>
      <c r="I89" s="15">
        <f>G89+I88</f>
        <v>866</v>
      </c>
      <c r="J89" s="35">
        <f>G89+I88</f>
        <v>866</v>
      </c>
      <c r="K89" s="24">
        <f>I89+K88</f>
        <v>1149</v>
      </c>
      <c r="L89" s="35">
        <f>I89+K88</f>
        <v>1149</v>
      </c>
      <c r="M89" s="15">
        <f>K89+M88</f>
        <v>1759</v>
      </c>
      <c r="N89" s="19">
        <f>K89+M88</f>
        <v>1759</v>
      </c>
      <c r="O89" s="15"/>
      <c r="P89" s="15"/>
      <c r="Q89" s="24">
        <f>M89+Q88</f>
        <v>1759</v>
      </c>
      <c r="R89" s="29">
        <f>M89+Q88</f>
        <v>1759</v>
      </c>
      <c r="S89" s="20"/>
    </row>
    <row r="90" spans="1:19" ht="14.25" customHeight="1">
      <c r="A90" s="97"/>
      <c r="B90" s="73"/>
      <c r="C90" s="20"/>
      <c r="D90" s="20"/>
      <c r="E90" s="20"/>
      <c r="F90" s="105"/>
      <c r="G90" s="18"/>
      <c r="H90" s="35"/>
      <c r="I90" s="18"/>
      <c r="J90" s="35"/>
      <c r="K90" s="18"/>
      <c r="L90" s="18"/>
      <c r="M90" s="18"/>
      <c r="N90" s="19"/>
      <c r="O90" s="18"/>
      <c r="P90" s="18"/>
      <c r="Q90" s="110"/>
      <c r="R90" s="29"/>
      <c r="S90" s="20"/>
    </row>
    <row r="91" spans="1:19" ht="14.25" customHeight="1">
      <c r="A91" s="97"/>
      <c r="B91" s="73"/>
      <c r="C91" s="98"/>
      <c r="D91" s="95"/>
      <c r="E91" s="99"/>
      <c r="F91" s="100"/>
      <c r="G91" s="101"/>
      <c r="H91" s="35"/>
      <c r="I91" s="102"/>
      <c r="J91" s="35"/>
      <c r="K91" s="101"/>
      <c r="L91" s="18"/>
      <c r="M91" s="101"/>
      <c r="N91" s="19"/>
      <c r="O91" s="122"/>
      <c r="P91" s="19"/>
      <c r="Q91" s="104"/>
      <c r="R91" s="29"/>
      <c r="S91" s="20"/>
    </row>
    <row r="92" spans="1:19" ht="12.75" customHeight="1">
      <c r="A92" s="97"/>
      <c r="B92" s="73"/>
      <c r="C92" s="20"/>
      <c r="D92" s="20"/>
      <c r="E92" s="105"/>
      <c r="F92" s="105"/>
      <c r="G92" s="106"/>
      <c r="H92" s="35"/>
      <c r="I92" s="106"/>
      <c r="J92" s="35"/>
      <c r="K92" s="18"/>
      <c r="L92" s="18"/>
      <c r="M92" s="18"/>
      <c r="N92" s="19"/>
      <c r="O92" s="18"/>
      <c r="P92" s="18"/>
      <c r="Q92" s="18"/>
      <c r="R92" s="29"/>
      <c r="S92" s="20"/>
    </row>
    <row r="93" spans="1:19" ht="14.25" customHeight="1">
      <c r="A93" s="97"/>
      <c r="B93" s="81"/>
      <c r="C93" s="95"/>
      <c r="D93" s="95"/>
      <c r="E93" s="108"/>
      <c r="F93" s="109"/>
      <c r="G93" s="17"/>
      <c r="H93" s="35"/>
      <c r="I93" s="39"/>
      <c r="J93" s="35"/>
      <c r="K93" s="17"/>
      <c r="L93" s="18"/>
      <c r="M93" s="17"/>
      <c r="N93" s="19"/>
      <c r="O93" s="18"/>
      <c r="P93" s="18"/>
      <c r="Q93" s="23"/>
      <c r="R93" s="29"/>
      <c r="S93" s="20"/>
    </row>
    <row r="94" spans="1:19" ht="14.25" customHeight="1">
      <c r="A94" s="97"/>
      <c r="B94" s="81"/>
      <c r="C94" s="20"/>
      <c r="D94" s="20"/>
      <c r="E94" s="20"/>
      <c r="F94" s="105"/>
      <c r="G94" s="18"/>
      <c r="H94" s="35"/>
      <c r="I94" s="18"/>
      <c r="J94" s="35"/>
      <c r="K94" s="18"/>
      <c r="L94" s="18"/>
      <c r="M94" s="18"/>
      <c r="N94" s="19"/>
      <c r="O94" s="18"/>
      <c r="P94" s="18"/>
      <c r="Q94" s="110"/>
      <c r="R94" s="29"/>
      <c r="S94" s="20"/>
    </row>
    <row r="95" spans="1:19" ht="14.25" customHeight="1">
      <c r="A95" s="97"/>
      <c r="B95" s="81"/>
      <c r="C95" s="98"/>
      <c r="D95" s="95"/>
      <c r="E95" s="99"/>
      <c r="F95" s="100"/>
      <c r="G95" s="101"/>
      <c r="H95" s="35"/>
      <c r="I95" s="102"/>
      <c r="J95" s="35"/>
      <c r="K95" s="101"/>
      <c r="L95" s="18"/>
      <c r="M95" s="101"/>
      <c r="N95" s="19"/>
      <c r="O95" s="122"/>
      <c r="P95" s="19"/>
      <c r="Q95" s="104"/>
      <c r="R95" s="29"/>
      <c r="S95" s="20"/>
    </row>
    <row r="96" spans="1:19" ht="12.75" customHeight="1">
      <c r="A96" s="97"/>
      <c r="B96" s="81"/>
      <c r="C96" s="20"/>
      <c r="D96" s="20"/>
      <c r="E96" s="105"/>
      <c r="F96" s="105"/>
      <c r="G96" s="106"/>
      <c r="H96" s="35"/>
      <c r="I96" s="106"/>
      <c r="J96" s="35"/>
      <c r="K96" s="18"/>
      <c r="L96" s="18"/>
      <c r="M96" s="18"/>
      <c r="N96" s="19"/>
      <c r="O96" s="18"/>
      <c r="P96" s="18"/>
      <c r="Q96" s="18"/>
      <c r="R96" s="29"/>
      <c r="S96" s="20"/>
    </row>
    <row r="97" spans="1:19" ht="14.25" customHeight="1">
      <c r="A97" s="97"/>
      <c r="B97" s="81"/>
      <c r="C97" s="95"/>
      <c r="D97" s="95"/>
      <c r="E97" s="108"/>
      <c r="F97" s="109"/>
      <c r="G97" s="17"/>
      <c r="H97" s="35"/>
      <c r="I97" s="39"/>
      <c r="J97" s="35"/>
      <c r="K97" s="17"/>
      <c r="L97" s="18"/>
      <c r="M97" s="17"/>
      <c r="N97" s="19"/>
      <c r="O97" s="18"/>
      <c r="P97" s="18"/>
      <c r="Q97" s="23"/>
      <c r="R97" s="29"/>
      <c r="S97" s="20"/>
    </row>
    <row r="98" spans="1:19" ht="14.25" customHeight="1">
      <c r="A98" s="97"/>
      <c r="B98" s="73"/>
      <c r="C98" s="20"/>
      <c r="D98" s="20"/>
      <c r="E98" s="20"/>
      <c r="F98" s="105"/>
      <c r="G98" s="18"/>
      <c r="H98" s="35"/>
      <c r="I98" s="18"/>
      <c r="J98" s="35"/>
      <c r="K98" s="18"/>
      <c r="L98" s="18"/>
      <c r="M98" s="18"/>
      <c r="N98" s="19"/>
      <c r="O98" s="18"/>
      <c r="P98" s="18"/>
      <c r="Q98" s="110"/>
      <c r="R98" s="29"/>
      <c r="S98" s="20"/>
    </row>
    <row r="99" spans="1:19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</sheetData>
  <sheetProtection/>
  <printOptions/>
  <pageMargins left="0.2755905511811024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9"/>
  <sheetViews>
    <sheetView zoomScale="140" zoomScaleNormal="140" workbookViewId="0" topLeftCell="A40">
      <selection activeCell="A48" sqref="A48:R55"/>
    </sheetView>
  </sheetViews>
  <sheetFormatPr defaultColWidth="9.140625" defaultRowHeight="12.75"/>
  <cols>
    <col min="1" max="2" width="7.7109375" style="0" customWidth="1"/>
    <col min="3" max="3" width="4.7109375" style="0" customWidth="1"/>
    <col min="4" max="4" width="20.57421875" style="0" customWidth="1"/>
    <col min="5" max="5" width="12.28125" style="0" customWidth="1"/>
    <col min="6" max="6" width="0.85546875" style="0" customWidth="1"/>
    <col min="7" max="7" width="7.7109375" style="0" customWidth="1"/>
    <col min="8" max="8" width="0.85546875" style="0" customWidth="1"/>
    <col min="9" max="9" width="7.7109375" style="0" customWidth="1"/>
    <col min="10" max="10" width="0.85546875" style="0" customWidth="1"/>
    <col min="11" max="11" width="7.7109375" style="0" customWidth="1"/>
    <col min="12" max="12" width="0.85546875" style="0" customWidth="1"/>
    <col min="13" max="13" width="7.7109375" style="0" customWidth="1"/>
    <col min="14" max="14" width="0.85546875" style="0" customWidth="1"/>
    <col min="15" max="15" width="2.57421875" style="0" customWidth="1"/>
    <col min="16" max="16" width="0.85546875" style="0" customWidth="1"/>
    <col min="17" max="17" width="5.421875" style="0" customWidth="1"/>
    <col min="18" max="18" width="0.85546875" style="0" customWidth="1"/>
    <col min="19" max="19" width="7.7109375" style="0" customWidth="1"/>
    <col min="20" max="20" width="0.85546875" style="0" customWidth="1"/>
    <col min="21" max="21" width="2.57421875" style="0" customWidth="1"/>
    <col min="22" max="22" width="0.85546875" style="0" customWidth="1"/>
    <col min="23" max="23" width="5.421875" style="0" customWidth="1"/>
    <col min="24" max="24" width="0.85546875" style="0" customWidth="1"/>
    <col min="26" max="26" width="0.85546875" style="0" customWidth="1"/>
  </cols>
  <sheetData>
    <row r="1" ht="12.75">
      <c r="H1" s="7"/>
    </row>
    <row r="2" spans="1:2" ht="15.75">
      <c r="A2" s="1" t="s">
        <v>30</v>
      </c>
      <c r="B2" s="1"/>
    </row>
    <row r="3" spans="1:2" ht="15.75">
      <c r="A3" s="1" t="s">
        <v>31</v>
      </c>
      <c r="B3" s="1"/>
    </row>
    <row r="4" spans="1:2" ht="15.75">
      <c r="A4" s="1" t="s">
        <v>120</v>
      </c>
      <c r="B4" s="1"/>
    </row>
    <row r="5" ht="14.25" customHeight="1"/>
    <row r="6" spans="5:9" ht="13.5" customHeight="1">
      <c r="E6" s="148" t="s">
        <v>72</v>
      </c>
      <c r="G6" s="147">
        <v>3232</v>
      </c>
      <c r="I6" s="149" t="s">
        <v>75</v>
      </c>
    </row>
    <row r="7" spans="1:9" ht="15.75">
      <c r="A7" s="6" t="s">
        <v>32</v>
      </c>
      <c r="B7" s="6"/>
      <c r="E7" s="151" t="s">
        <v>0</v>
      </c>
      <c r="G7" s="151">
        <v>3232</v>
      </c>
      <c r="H7" s="41"/>
      <c r="I7" s="150" t="s">
        <v>75</v>
      </c>
    </row>
    <row r="8" spans="1:24" ht="13.5" customHeight="1">
      <c r="A8" s="41" t="s">
        <v>29</v>
      </c>
      <c r="B8" s="41"/>
      <c r="C8" s="146" t="s">
        <v>71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5:24" ht="12.75">
      <c r="E9" s="16"/>
      <c r="F9" s="16"/>
      <c r="G9" s="13" t="s">
        <v>27</v>
      </c>
      <c r="H9" s="42"/>
      <c r="I9" s="13" t="s">
        <v>14</v>
      </c>
      <c r="J9" s="13"/>
      <c r="K9" s="13" t="s">
        <v>17</v>
      </c>
      <c r="L9" s="42"/>
      <c r="M9" s="13" t="s">
        <v>18</v>
      </c>
      <c r="N9" s="13"/>
      <c r="O9" s="13"/>
      <c r="P9" s="13"/>
      <c r="Q9" s="13" t="s">
        <v>15</v>
      </c>
      <c r="R9" s="13"/>
      <c r="S9" s="42"/>
      <c r="T9" s="42"/>
      <c r="U9" s="42"/>
      <c r="V9" s="42"/>
      <c r="W9" s="43"/>
      <c r="X9" s="16"/>
    </row>
    <row r="10" spans="1:24" ht="14.25" customHeight="1">
      <c r="A10" s="13" t="s">
        <v>1</v>
      </c>
      <c r="C10" s="62" t="s">
        <v>21</v>
      </c>
      <c r="D10" s="11" t="s">
        <v>9</v>
      </c>
      <c r="E10" s="60" t="s">
        <v>20</v>
      </c>
      <c r="F10" s="16"/>
      <c r="G10" s="21" t="s">
        <v>22</v>
      </c>
      <c r="H10" s="45"/>
      <c r="I10" s="21" t="s">
        <v>23</v>
      </c>
      <c r="J10" s="12"/>
      <c r="K10" s="21" t="s">
        <v>23</v>
      </c>
      <c r="L10" s="45"/>
      <c r="M10" s="21" t="s">
        <v>24</v>
      </c>
      <c r="N10" s="12"/>
      <c r="O10" s="12"/>
      <c r="P10" s="12"/>
      <c r="Q10" s="21" t="s">
        <v>22</v>
      </c>
      <c r="R10" s="12"/>
      <c r="S10" s="44"/>
      <c r="T10" s="45"/>
      <c r="U10" s="45"/>
      <c r="V10" s="45"/>
      <c r="W10" s="44"/>
      <c r="X10" s="16"/>
    </row>
    <row r="11" spans="1:24" ht="12.75">
      <c r="A11" s="13" t="s">
        <v>2</v>
      </c>
      <c r="B11" s="58" t="s">
        <v>37</v>
      </c>
      <c r="E11" s="10"/>
      <c r="F11" s="46"/>
      <c r="G11" s="14" t="s">
        <v>11</v>
      </c>
      <c r="H11" s="48"/>
      <c r="I11" s="14"/>
      <c r="J11" s="7"/>
      <c r="K11" s="14" t="s">
        <v>11</v>
      </c>
      <c r="L11" s="48"/>
      <c r="M11" s="14"/>
      <c r="N11" s="7"/>
      <c r="O11" s="7"/>
      <c r="P11" s="7"/>
      <c r="Q11" s="14"/>
      <c r="R11" s="7"/>
      <c r="S11" s="47"/>
      <c r="T11" s="48"/>
      <c r="U11" s="48"/>
      <c r="V11" s="48"/>
      <c r="W11" s="47"/>
      <c r="X11" s="16"/>
    </row>
    <row r="12" spans="2:24" ht="14.25" customHeight="1">
      <c r="B12" s="58" t="s">
        <v>2</v>
      </c>
      <c r="C12" s="11" t="s">
        <v>10</v>
      </c>
      <c r="E12" s="61" t="s">
        <v>19</v>
      </c>
      <c r="F12" s="48"/>
      <c r="G12" s="14" t="s">
        <v>12</v>
      </c>
      <c r="H12" s="48"/>
      <c r="I12" s="14" t="s">
        <v>12</v>
      </c>
      <c r="J12" s="7"/>
      <c r="K12" s="14" t="s">
        <v>12</v>
      </c>
      <c r="L12" s="48"/>
      <c r="M12" s="14" t="s">
        <v>12</v>
      </c>
      <c r="N12" s="7"/>
      <c r="O12" s="7"/>
      <c r="P12" s="7"/>
      <c r="Q12" s="14" t="s">
        <v>12</v>
      </c>
      <c r="R12" s="7"/>
      <c r="S12" s="47"/>
      <c r="T12" s="48"/>
      <c r="U12" s="48"/>
      <c r="V12" s="48"/>
      <c r="W12" s="47"/>
      <c r="X12" s="16"/>
    </row>
    <row r="13" spans="1:24" ht="12.75">
      <c r="A13" s="8"/>
      <c r="B13" s="8"/>
      <c r="C13" s="8"/>
      <c r="D13" s="8"/>
      <c r="E13" s="8"/>
      <c r="F13" s="49"/>
      <c r="G13" s="15" t="s">
        <v>13</v>
      </c>
      <c r="H13" s="50"/>
      <c r="I13" s="15" t="s">
        <v>13</v>
      </c>
      <c r="J13" s="9"/>
      <c r="K13" s="15" t="s">
        <v>13</v>
      </c>
      <c r="L13" s="50"/>
      <c r="M13" s="15" t="s">
        <v>13</v>
      </c>
      <c r="N13" s="9"/>
      <c r="O13" s="9"/>
      <c r="P13" s="9"/>
      <c r="Q13" s="15" t="s">
        <v>13</v>
      </c>
      <c r="R13" s="9"/>
      <c r="S13" s="22"/>
      <c r="T13" s="55"/>
      <c r="U13" s="55"/>
      <c r="V13" s="55"/>
      <c r="W13" s="22"/>
      <c r="X13" s="16"/>
    </row>
    <row r="14" spans="1:24" ht="14.25" customHeight="1">
      <c r="A14" s="31"/>
      <c r="B14" s="73"/>
      <c r="C14" s="181">
        <v>785</v>
      </c>
      <c r="D14" s="130" t="s">
        <v>231</v>
      </c>
      <c r="E14" s="91" t="s">
        <v>301</v>
      </c>
      <c r="F14" s="46">
        <v>5</v>
      </c>
      <c r="G14" s="82">
        <v>14.4</v>
      </c>
      <c r="H14" s="34">
        <f>G16</f>
        <v>730</v>
      </c>
      <c r="I14" s="83">
        <v>11.91</v>
      </c>
      <c r="J14" s="34">
        <f>G17+I16</f>
        <v>1331</v>
      </c>
      <c r="K14" s="83">
        <v>6.2</v>
      </c>
      <c r="L14" s="34">
        <f>I17+K16</f>
        <v>1961</v>
      </c>
      <c r="M14" s="83">
        <v>1.7</v>
      </c>
      <c r="N14" s="27">
        <f>K17+M16</f>
        <v>2505</v>
      </c>
      <c r="O14" s="84">
        <v>2</v>
      </c>
      <c r="P14" s="7" t="s">
        <v>25</v>
      </c>
      <c r="Q14" s="184" t="s">
        <v>510</v>
      </c>
      <c r="R14" s="28">
        <f>M17+Q16</f>
        <v>2959</v>
      </c>
      <c r="S14" s="56"/>
      <c r="T14" s="52"/>
      <c r="U14" s="22"/>
      <c r="V14" s="55"/>
      <c r="W14" s="57"/>
      <c r="X14" s="52"/>
    </row>
    <row r="15" spans="1:24" ht="12.75" customHeight="1">
      <c r="A15" s="32">
        <v>1</v>
      </c>
      <c r="B15" s="74"/>
      <c r="E15" s="10"/>
      <c r="F15" s="51">
        <v>6</v>
      </c>
      <c r="G15" s="85"/>
      <c r="H15" s="35">
        <f>G16</f>
        <v>730</v>
      </c>
      <c r="I15" s="14"/>
      <c r="J15" s="35">
        <f>G17+I16</f>
        <v>1331</v>
      </c>
      <c r="K15" s="85"/>
      <c r="L15" s="35">
        <f>I17+K16</f>
        <v>1961</v>
      </c>
      <c r="M15" s="14"/>
      <c r="N15" s="19">
        <f>K17+M16</f>
        <v>2505</v>
      </c>
      <c r="O15" s="14"/>
      <c r="P15" s="14"/>
      <c r="Q15" s="14"/>
      <c r="R15" s="29">
        <f>M17+Q16</f>
        <v>2959</v>
      </c>
      <c r="S15" s="22"/>
      <c r="T15" s="52"/>
      <c r="U15" s="22"/>
      <c r="V15" s="22"/>
      <c r="W15" s="22"/>
      <c r="X15" s="52"/>
    </row>
    <row r="16" spans="1:25" ht="14.25" customHeight="1">
      <c r="A16" s="32"/>
      <c r="B16" s="175">
        <v>1</v>
      </c>
      <c r="C16" s="11" t="s">
        <v>178</v>
      </c>
      <c r="D16" s="11"/>
      <c r="E16" s="25">
        <f>R17</f>
        <v>2959</v>
      </c>
      <c r="F16" s="51">
        <v>7</v>
      </c>
      <c r="G16" s="17">
        <f>ROUNDDOWN(7.237*(26.76-(G14))^1.835,0)</f>
        <v>730</v>
      </c>
      <c r="H16" s="35">
        <f>G16</f>
        <v>730</v>
      </c>
      <c r="I16" s="17">
        <f>ROUNDDOWN(51.39*(I14-1.5)^1.05,0)</f>
        <v>601</v>
      </c>
      <c r="J16" s="35">
        <f>G17+I16</f>
        <v>1331</v>
      </c>
      <c r="K16" s="17">
        <f>ROUNDDOWN(0.14354*(100*K14-220)^1.4,0)</f>
        <v>630</v>
      </c>
      <c r="L16" s="35">
        <f>I17+K16</f>
        <v>1961</v>
      </c>
      <c r="M16" s="17">
        <f>ROUNDDOWN(0.8465*(100*M14-75)^1.42,0)</f>
        <v>544</v>
      </c>
      <c r="N16" s="19">
        <f>K17+M16</f>
        <v>2505</v>
      </c>
      <c r="O16" s="14"/>
      <c r="P16" s="14"/>
      <c r="Q16" s="23">
        <f>IF(O14+Q14=0,0,TRUNC(0.232*((200-(O14*60+Q14))^1.85)))</f>
        <v>454</v>
      </c>
      <c r="R16" s="29">
        <f>M17+Q16</f>
        <v>2959</v>
      </c>
      <c r="S16" s="17"/>
      <c r="T16" s="52"/>
      <c r="U16" s="22"/>
      <c r="V16" s="22"/>
      <c r="W16" s="39"/>
      <c r="X16" s="52"/>
      <c r="Y16" s="38"/>
    </row>
    <row r="17" spans="1:24" ht="14.25" customHeight="1">
      <c r="A17" s="33"/>
      <c r="B17" s="76"/>
      <c r="C17" s="8"/>
      <c r="D17" s="8"/>
      <c r="E17" s="8"/>
      <c r="F17" s="46">
        <v>8</v>
      </c>
      <c r="G17" s="40">
        <f>G16</f>
        <v>730</v>
      </c>
      <c r="H17" s="36">
        <f>G16</f>
        <v>730</v>
      </c>
      <c r="I17" s="15">
        <f>G17+I16</f>
        <v>1331</v>
      </c>
      <c r="J17" s="35">
        <f>G17+I16</f>
        <v>1331</v>
      </c>
      <c r="K17" s="15">
        <f>I17+K16</f>
        <v>1961</v>
      </c>
      <c r="L17" s="35">
        <f>I17+K16</f>
        <v>1961</v>
      </c>
      <c r="M17" s="15">
        <f>K17+M16</f>
        <v>2505</v>
      </c>
      <c r="N17" s="19">
        <f>K17+M16</f>
        <v>2505</v>
      </c>
      <c r="O17" s="15"/>
      <c r="P17" s="15"/>
      <c r="Q17" s="24">
        <f>M17+Q16</f>
        <v>2959</v>
      </c>
      <c r="R17" s="29">
        <f>M17+Q16</f>
        <v>2959</v>
      </c>
      <c r="S17" s="22"/>
      <c r="T17" s="52"/>
      <c r="U17" s="22"/>
      <c r="V17" s="22"/>
      <c r="W17" s="39"/>
      <c r="X17" s="52"/>
    </row>
    <row r="18" spans="1:24" ht="14.25" customHeight="1">
      <c r="A18" s="31"/>
      <c r="B18" s="73"/>
      <c r="C18" s="181">
        <v>784</v>
      </c>
      <c r="D18" s="130" t="s">
        <v>230</v>
      </c>
      <c r="E18" s="91" t="s">
        <v>350</v>
      </c>
      <c r="F18" s="51">
        <v>1</v>
      </c>
      <c r="G18" s="82">
        <v>15.1</v>
      </c>
      <c r="H18" s="34">
        <f>G20</f>
        <v>656</v>
      </c>
      <c r="I18" s="83">
        <v>9.45</v>
      </c>
      <c r="J18" s="34">
        <f>G21+I20</f>
        <v>1109</v>
      </c>
      <c r="K18" s="83">
        <v>5.45</v>
      </c>
      <c r="L18" s="34">
        <f>I21+K20</f>
        <v>1580</v>
      </c>
      <c r="M18" s="83">
        <v>1.58</v>
      </c>
      <c r="N18" s="27">
        <f>K21+M20</f>
        <v>2029</v>
      </c>
      <c r="O18" s="84">
        <v>2</v>
      </c>
      <c r="P18" s="7" t="s">
        <v>25</v>
      </c>
      <c r="Q18" s="184" t="s">
        <v>511</v>
      </c>
      <c r="R18" s="28">
        <f>M21+Q20</f>
        <v>2374</v>
      </c>
      <c r="S18" s="56"/>
      <c r="T18" s="52"/>
      <c r="U18" s="22"/>
      <c r="V18" s="55"/>
      <c r="W18" s="57"/>
      <c r="X18" s="52"/>
    </row>
    <row r="19" spans="1:24" ht="12.75" customHeight="1">
      <c r="A19" s="32">
        <v>2</v>
      </c>
      <c r="B19" s="74"/>
      <c r="E19" s="10"/>
      <c r="F19" s="46">
        <v>2</v>
      </c>
      <c r="G19" s="85"/>
      <c r="H19" s="35">
        <f>G20</f>
        <v>656</v>
      </c>
      <c r="I19" s="14"/>
      <c r="J19" s="35">
        <f>G21+I20</f>
        <v>1109</v>
      </c>
      <c r="K19" s="85"/>
      <c r="L19" s="35">
        <f>I21+K20</f>
        <v>1580</v>
      </c>
      <c r="M19" s="14"/>
      <c r="N19" s="19">
        <f>K21+M20</f>
        <v>2029</v>
      </c>
      <c r="O19" s="14"/>
      <c r="P19" s="14"/>
      <c r="Q19" s="14"/>
      <c r="R19" s="29">
        <f>M21+Q20</f>
        <v>2374</v>
      </c>
      <c r="S19" s="22"/>
      <c r="T19" s="52"/>
      <c r="U19" s="22"/>
      <c r="V19" s="22"/>
      <c r="W19" s="22"/>
      <c r="X19" s="52"/>
    </row>
    <row r="20" spans="1:24" ht="14.25" customHeight="1">
      <c r="A20" s="32"/>
      <c r="B20" s="77">
        <v>2</v>
      </c>
      <c r="C20" s="11" t="s">
        <v>178</v>
      </c>
      <c r="D20" s="11"/>
      <c r="E20" s="25">
        <f>R21</f>
        <v>2374</v>
      </c>
      <c r="F20" s="51">
        <v>3</v>
      </c>
      <c r="G20" s="17">
        <f>ROUNDDOWN(7.237*(26.76-(G18))^1.835,0)</f>
        <v>656</v>
      </c>
      <c r="H20" s="35">
        <f>G20</f>
        <v>656</v>
      </c>
      <c r="I20" s="17">
        <f>ROUNDDOWN(51.39*(I18-1.5)^1.05,0)</f>
        <v>453</v>
      </c>
      <c r="J20" s="35">
        <f>G21+I20</f>
        <v>1109</v>
      </c>
      <c r="K20" s="17">
        <f>ROUNDDOWN(0.14354*(100*K18-220)^1.4,0)</f>
        <v>471</v>
      </c>
      <c r="L20" s="35">
        <f>I21+K20</f>
        <v>1580</v>
      </c>
      <c r="M20" s="17">
        <f>ROUNDDOWN(0.8465*(100*M18-75)^1.42,0)</f>
        <v>449</v>
      </c>
      <c r="N20" s="19">
        <f>K21+M20</f>
        <v>2029</v>
      </c>
      <c r="O20" s="14"/>
      <c r="P20" s="14"/>
      <c r="Q20" s="23">
        <f>IF(O18+Q18=0,0,TRUNC(0.232*((200-(O18*60+Q18))^1.85)))</f>
        <v>345</v>
      </c>
      <c r="R20" s="29">
        <f>M21+Q20</f>
        <v>2374</v>
      </c>
      <c r="S20" s="17"/>
      <c r="T20" s="52"/>
      <c r="U20" s="22"/>
      <c r="V20" s="22"/>
      <c r="W20" s="39"/>
      <c r="X20" s="52"/>
    </row>
    <row r="21" spans="1:24" ht="14.25" customHeight="1">
      <c r="A21" s="33"/>
      <c r="B21" s="76"/>
      <c r="C21" s="8"/>
      <c r="D21" s="8"/>
      <c r="E21" s="8"/>
      <c r="F21" s="51">
        <v>4</v>
      </c>
      <c r="G21" s="40">
        <f>G20</f>
        <v>656</v>
      </c>
      <c r="H21" s="36">
        <f>G20</f>
        <v>656</v>
      </c>
      <c r="I21" s="15">
        <f>G21+I20</f>
        <v>1109</v>
      </c>
      <c r="J21" s="35">
        <f>G21+I20</f>
        <v>1109</v>
      </c>
      <c r="K21" s="15">
        <f>I21+K20</f>
        <v>1580</v>
      </c>
      <c r="L21" s="35">
        <f>I21+K20</f>
        <v>1580</v>
      </c>
      <c r="M21" s="15">
        <f>K21+M20</f>
        <v>2029</v>
      </c>
      <c r="N21" s="19">
        <f>K21+M20</f>
        <v>2029</v>
      </c>
      <c r="O21" s="15"/>
      <c r="P21" s="15"/>
      <c r="Q21" s="24">
        <f>M21+Q20</f>
        <v>2374</v>
      </c>
      <c r="R21" s="29">
        <f>M21+Q20</f>
        <v>2374</v>
      </c>
      <c r="S21" s="22"/>
      <c r="T21" s="52"/>
      <c r="U21" s="22"/>
      <c r="V21" s="22"/>
      <c r="W21" s="39"/>
      <c r="X21" s="52"/>
    </row>
    <row r="22" spans="1:24" ht="14.25" customHeight="1">
      <c r="A22" s="31"/>
      <c r="B22" s="73"/>
      <c r="C22" s="181">
        <v>787</v>
      </c>
      <c r="D22" s="130" t="s">
        <v>233</v>
      </c>
      <c r="E22" s="91" t="s">
        <v>519</v>
      </c>
      <c r="F22" s="51">
        <v>13</v>
      </c>
      <c r="G22" s="82">
        <v>18.4</v>
      </c>
      <c r="H22" s="34">
        <f>G24</f>
        <v>356</v>
      </c>
      <c r="I22" s="83">
        <v>8.8</v>
      </c>
      <c r="J22" s="34">
        <f>G25+I24</f>
        <v>770</v>
      </c>
      <c r="K22" s="83">
        <v>4.83</v>
      </c>
      <c r="L22" s="34">
        <f>I25+K24</f>
        <v>1120</v>
      </c>
      <c r="M22" s="83">
        <v>1.61</v>
      </c>
      <c r="N22" s="27">
        <f>K25+M24</f>
        <v>1592</v>
      </c>
      <c r="O22" s="84">
        <v>2</v>
      </c>
      <c r="P22" s="7" t="s">
        <v>25</v>
      </c>
      <c r="Q22" s="184" t="s">
        <v>513</v>
      </c>
      <c r="R22" s="28">
        <f>M25+Q24</f>
        <v>1862</v>
      </c>
      <c r="S22" s="56"/>
      <c r="T22" s="52"/>
      <c r="U22" s="22"/>
      <c r="V22" s="55"/>
      <c r="W22" s="57"/>
      <c r="X22" s="52"/>
    </row>
    <row r="23" spans="1:24" ht="12.75" customHeight="1">
      <c r="A23" s="32">
        <v>3</v>
      </c>
      <c r="B23" s="74"/>
      <c r="E23" s="10"/>
      <c r="F23" s="46">
        <v>14</v>
      </c>
      <c r="G23" s="85"/>
      <c r="H23" s="35">
        <f>G24</f>
        <v>356</v>
      </c>
      <c r="I23" s="14"/>
      <c r="J23" s="35">
        <f>G25+I24</f>
        <v>770</v>
      </c>
      <c r="K23" s="85"/>
      <c r="L23" s="35">
        <f>I25+K24</f>
        <v>1120</v>
      </c>
      <c r="M23" s="14"/>
      <c r="N23" s="19">
        <f>K25+M24</f>
        <v>1592</v>
      </c>
      <c r="O23" s="14"/>
      <c r="P23" s="14"/>
      <c r="Q23" s="14"/>
      <c r="R23" s="29">
        <f>M25+Q24</f>
        <v>1862</v>
      </c>
      <c r="S23" s="22"/>
      <c r="T23" s="52"/>
      <c r="U23" s="22"/>
      <c r="V23" s="22"/>
      <c r="W23" s="22"/>
      <c r="X23" s="52"/>
    </row>
    <row r="24" spans="1:24" ht="14.25" customHeight="1">
      <c r="A24" s="32"/>
      <c r="B24" s="176">
        <v>3</v>
      </c>
      <c r="C24" s="11" t="s">
        <v>80</v>
      </c>
      <c r="D24" s="11"/>
      <c r="E24" s="25">
        <f>R25</f>
        <v>1862</v>
      </c>
      <c r="F24" s="51">
        <v>15</v>
      </c>
      <c r="G24" s="17">
        <f>ROUNDDOWN(7.237*(26.76-(G22))^1.835,0)</f>
        <v>356</v>
      </c>
      <c r="H24" s="35">
        <f>G24</f>
        <v>356</v>
      </c>
      <c r="I24" s="17">
        <f>ROUNDDOWN(51.39*(I22-1.5)^1.05,0)</f>
        <v>414</v>
      </c>
      <c r="J24" s="35">
        <f>G25+I24</f>
        <v>770</v>
      </c>
      <c r="K24" s="17">
        <f>ROUNDDOWN(0.14354*(100*K22-220)^1.4,0)</f>
        <v>350</v>
      </c>
      <c r="L24" s="35">
        <f>I25+K24</f>
        <v>1120</v>
      </c>
      <c r="M24" s="17">
        <f>ROUNDDOWN(0.8465*(100*M22-75)^1.42,0)</f>
        <v>472</v>
      </c>
      <c r="N24" s="19">
        <f>K25+M24</f>
        <v>1592</v>
      </c>
      <c r="O24" s="14"/>
      <c r="P24" s="14"/>
      <c r="Q24" s="23">
        <f>IF(O22+Q22=0,0,TRUNC(0.232*((200-(O22*60+Q22))^1.85)))</f>
        <v>270</v>
      </c>
      <c r="R24" s="29">
        <f>M25+Q24</f>
        <v>1862</v>
      </c>
      <c r="S24" s="17"/>
      <c r="T24" s="52"/>
      <c r="U24" s="22"/>
      <c r="V24" s="22"/>
      <c r="W24" s="39"/>
      <c r="X24" s="52"/>
    </row>
    <row r="25" spans="1:24" ht="14.25" customHeight="1">
      <c r="A25" s="33"/>
      <c r="B25" s="76"/>
      <c r="C25" s="8"/>
      <c r="D25" s="8"/>
      <c r="E25" s="8"/>
      <c r="F25" s="51">
        <v>16</v>
      </c>
      <c r="G25" s="40">
        <f>G24</f>
        <v>356</v>
      </c>
      <c r="H25" s="36">
        <f>G24</f>
        <v>356</v>
      </c>
      <c r="I25" s="15">
        <f>G25+I24</f>
        <v>770</v>
      </c>
      <c r="J25" s="35">
        <f>G25+I24</f>
        <v>770</v>
      </c>
      <c r="K25" s="15">
        <f>I25+K24</f>
        <v>1120</v>
      </c>
      <c r="L25" s="35">
        <f>I25+K24</f>
        <v>1120</v>
      </c>
      <c r="M25" s="15">
        <f>K25+M24</f>
        <v>1592</v>
      </c>
      <c r="N25" s="19">
        <f>K25+M24</f>
        <v>1592</v>
      </c>
      <c r="O25" s="15"/>
      <c r="P25" s="15"/>
      <c r="Q25" s="24">
        <f>M25+Q24</f>
        <v>1862</v>
      </c>
      <c r="R25" s="29">
        <f>M25+Q24</f>
        <v>1862</v>
      </c>
      <c r="S25" s="22"/>
      <c r="T25" s="52"/>
      <c r="U25" s="22"/>
      <c r="V25" s="22"/>
      <c r="W25" s="39"/>
      <c r="X25" s="52"/>
    </row>
    <row r="26" spans="1:23" ht="14.25" customHeight="1">
      <c r="A26" s="31"/>
      <c r="B26" s="73"/>
      <c r="C26" s="181">
        <v>786</v>
      </c>
      <c r="D26" s="130" t="s">
        <v>232</v>
      </c>
      <c r="E26" s="91" t="s">
        <v>520</v>
      </c>
      <c r="F26" s="51">
        <v>9</v>
      </c>
      <c r="G26" s="82">
        <v>17.2</v>
      </c>
      <c r="H26" s="34">
        <f>G28</f>
        <v>455</v>
      </c>
      <c r="I26" s="83">
        <v>6.11</v>
      </c>
      <c r="J26" s="34">
        <f>G29+I28</f>
        <v>710</v>
      </c>
      <c r="K26" s="83">
        <v>5.23</v>
      </c>
      <c r="L26" s="34">
        <f>I29+K28</f>
        <v>1137</v>
      </c>
      <c r="M26" s="83">
        <v>1.52</v>
      </c>
      <c r="N26" s="27">
        <f>K29+M28</f>
        <v>1541</v>
      </c>
      <c r="O26" s="84">
        <v>2</v>
      </c>
      <c r="P26" s="7" t="s">
        <v>25</v>
      </c>
      <c r="Q26" s="184" t="s">
        <v>514</v>
      </c>
      <c r="R26" s="28">
        <f>M29+Q28</f>
        <v>1807</v>
      </c>
      <c r="S26" s="20"/>
      <c r="T26" s="20"/>
      <c r="U26" s="20"/>
      <c r="V26" s="20"/>
      <c r="W26" s="20"/>
    </row>
    <row r="27" spans="1:23" ht="14.25" customHeight="1">
      <c r="A27" s="32">
        <v>4</v>
      </c>
      <c r="B27" s="74"/>
      <c r="E27" s="10"/>
      <c r="F27" s="51">
        <v>10</v>
      </c>
      <c r="G27" s="85"/>
      <c r="H27" s="35">
        <f>G28</f>
        <v>455</v>
      </c>
      <c r="I27" s="14"/>
      <c r="J27" s="35">
        <f>G29+I28</f>
        <v>710</v>
      </c>
      <c r="K27" s="85"/>
      <c r="L27" s="35">
        <f>I29+K28</f>
        <v>1137</v>
      </c>
      <c r="M27" s="14"/>
      <c r="N27" s="19">
        <f>K29+M28</f>
        <v>1541</v>
      </c>
      <c r="O27" s="14"/>
      <c r="P27" s="14"/>
      <c r="Q27" s="14"/>
      <c r="R27" s="29">
        <f>M29+Q28</f>
        <v>1807</v>
      </c>
      <c r="S27" s="20"/>
      <c r="T27" s="20"/>
      <c r="U27" s="20"/>
      <c r="V27" s="20"/>
      <c r="W27" s="20"/>
    </row>
    <row r="28" spans="1:19" ht="14.25" customHeight="1">
      <c r="A28" s="32"/>
      <c r="B28" s="176"/>
      <c r="C28" s="11" t="s">
        <v>80</v>
      </c>
      <c r="D28" s="11"/>
      <c r="E28" s="25">
        <f>R29</f>
        <v>1807</v>
      </c>
      <c r="F28" s="46">
        <v>11</v>
      </c>
      <c r="G28" s="17">
        <f>ROUNDDOWN(7.237*(26.76-(G26))^1.835,0)</f>
        <v>455</v>
      </c>
      <c r="H28" s="35">
        <f>G28</f>
        <v>455</v>
      </c>
      <c r="I28" s="17">
        <f>ROUNDDOWN(51.39*(I26-1.5)^1.05,0)</f>
        <v>255</v>
      </c>
      <c r="J28" s="35">
        <f>G29+I28</f>
        <v>710</v>
      </c>
      <c r="K28" s="17">
        <f>ROUNDDOWN(0.14354*(100*K26-220)^1.4,0)</f>
        <v>427</v>
      </c>
      <c r="L28" s="35">
        <f>I29+K28</f>
        <v>1137</v>
      </c>
      <c r="M28" s="17">
        <f>ROUNDDOWN(0.8465*(100*M26-75)^1.42,0)</f>
        <v>404</v>
      </c>
      <c r="N28" s="19">
        <f>K29+M28</f>
        <v>1541</v>
      </c>
      <c r="O28" s="14"/>
      <c r="P28" s="14"/>
      <c r="Q28" s="23">
        <f>IF(O26+Q26=0,0,TRUNC(0.232*((200-(O26*60+Q26))^1.85)))</f>
        <v>266</v>
      </c>
      <c r="R28" s="29">
        <f>M29+Q28</f>
        <v>1807</v>
      </c>
      <c r="S28" s="20"/>
    </row>
    <row r="29" spans="1:19" ht="14.25" customHeight="1">
      <c r="A29" s="33"/>
      <c r="B29" s="76"/>
      <c r="C29" s="8"/>
      <c r="D29" s="8"/>
      <c r="E29" s="8"/>
      <c r="F29" s="51">
        <v>12</v>
      </c>
      <c r="G29" s="40">
        <f>G28</f>
        <v>455</v>
      </c>
      <c r="H29" s="36">
        <f>G28</f>
        <v>455</v>
      </c>
      <c r="I29" s="15">
        <f>G29+I28</f>
        <v>710</v>
      </c>
      <c r="J29" s="35">
        <f>G29+I28</f>
        <v>710</v>
      </c>
      <c r="K29" s="15">
        <f>I29+K28</f>
        <v>1137</v>
      </c>
      <c r="L29" s="35">
        <f>I29+K28</f>
        <v>1137</v>
      </c>
      <c r="M29" s="15">
        <f>K29+M28</f>
        <v>1541</v>
      </c>
      <c r="N29" s="19">
        <f>K29+M28</f>
        <v>1541</v>
      </c>
      <c r="O29" s="15"/>
      <c r="P29" s="15"/>
      <c r="Q29" s="24">
        <f>M29+Q28</f>
        <v>1807</v>
      </c>
      <c r="R29" s="29">
        <f>M29+Q28</f>
        <v>1807</v>
      </c>
      <c r="S29" s="20"/>
    </row>
    <row r="30" spans="1:19" ht="13.5" customHeight="1">
      <c r="A30" s="31"/>
      <c r="B30" s="73"/>
      <c r="C30" s="181">
        <v>788</v>
      </c>
      <c r="D30" s="130" t="s">
        <v>102</v>
      </c>
      <c r="E30" s="91" t="s">
        <v>521</v>
      </c>
      <c r="F30" s="46">
        <v>17</v>
      </c>
      <c r="G30" s="82">
        <v>19.9</v>
      </c>
      <c r="H30" s="34">
        <f>G32</f>
        <v>247</v>
      </c>
      <c r="I30" s="83">
        <v>6.21</v>
      </c>
      <c r="J30" s="34">
        <f>G33+I32</f>
        <v>508</v>
      </c>
      <c r="K30" s="83">
        <v>4.55</v>
      </c>
      <c r="L30" s="34">
        <f>I33+K32</f>
        <v>807</v>
      </c>
      <c r="M30" s="83">
        <v>1.52</v>
      </c>
      <c r="N30" s="27">
        <f>K33+M32</f>
        <v>1211</v>
      </c>
      <c r="O30" s="84">
        <v>2</v>
      </c>
      <c r="P30" s="7" t="s">
        <v>25</v>
      </c>
      <c r="Q30" s="184" t="s">
        <v>515</v>
      </c>
      <c r="R30" s="28">
        <f>M33+Q32</f>
        <v>1532</v>
      </c>
      <c r="S30" s="20"/>
    </row>
    <row r="31" spans="1:19" ht="14.25" customHeight="1">
      <c r="A31" s="32">
        <v>5</v>
      </c>
      <c r="B31" s="74"/>
      <c r="E31" s="10"/>
      <c r="F31" s="51">
        <v>18</v>
      </c>
      <c r="G31" s="85"/>
      <c r="H31" s="35">
        <f>G32</f>
        <v>247</v>
      </c>
      <c r="I31" s="14"/>
      <c r="J31" s="35">
        <f>G33+I32</f>
        <v>508</v>
      </c>
      <c r="K31" s="85"/>
      <c r="L31" s="35">
        <f>I33+K32</f>
        <v>807</v>
      </c>
      <c r="M31" s="14"/>
      <c r="N31" s="19">
        <f>K33+M32</f>
        <v>1211</v>
      </c>
      <c r="O31" s="14"/>
      <c r="P31" s="14"/>
      <c r="Q31" s="14"/>
      <c r="R31" s="29">
        <f>M33+Q32</f>
        <v>1532</v>
      </c>
      <c r="S31" s="20"/>
    </row>
    <row r="32" spans="1:19" ht="14.25" customHeight="1">
      <c r="A32" s="32"/>
      <c r="B32" s="176"/>
      <c r="C32" s="95" t="s">
        <v>225</v>
      </c>
      <c r="D32" s="11"/>
      <c r="E32" s="25">
        <f>R33</f>
        <v>1532</v>
      </c>
      <c r="F32" s="51">
        <v>19</v>
      </c>
      <c r="G32" s="17">
        <f>ROUNDDOWN(7.237*(26.76-(G30))^1.835,0)</f>
        <v>247</v>
      </c>
      <c r="H32" s="35">
        <f>G32</f>
        <v>247</v>
      </c>
      <c r="I32" s="17">
        <f>ROUNDDOWN(51.39*(I30-1.5)^1.05,0)</f>
        <v>261</v>
      </c>
      <c r="J32" s="35">
        <f>G33+I32</f>
        <v>508</v>
      </c>
      <c r="K32" s="17">
        <f>ROUNDDOWN(0.14354*(100*K30-220)^1.4,0)</f>
        <v>299</v>
      </c>
      <c r="L32" s="35">
        <f>I33+K32</f>
        <v>807</v>
      </c>
      <c r="M32" s="17">
        <f>ROUNDDOWN(0.8465*(100*M30-75)^1.42,0)</f>
        <v>404</v>
      </c>
      <c r="N32" s="19">
        <f>K33+M32</f>
        <v>1211</v>
      </c>
      <c r="O32" s="14"/>
      <c r="P32" s="14"/>
      <c r="Q32" s="23">
        <f>IF(O30+Q30=0,0,TRUNC(0.232*((200-(O30*60+Q30))^1.85)))</f>
        <v>321</v>
      </c>
      <c r="R32" s="29">
        <f>M33+Q32</f>
        <v>1532</v>
      </c>
      <c r="S32" s="20"/>
    </row>
    <row r="33" spans="1:19" ht="14.25" customHeight="1">
      <c r="A33" s="33"/>
      <c r="B33" s="76"/>
      <c r="C33" s="8"/>
      <c r="D33" s="8"/>
      <c r="E33" s="8"/>
      <c r="F33" s="46">
        <v>20</v>
      </c>
      <c r="G33" s="40">
        <f>G32</f>
        <v>247</v>
      </c>
      <c r="H33" s="36">
        <f>G32</f>
        <v>247</v>
      </c>
      <c r="I33" s="15">
        <f>G33+I32</f>
        <v>508</v>
      </c>
      <c r="J33" s="35">
        <f>G33+I32</f>
        <v>508</v>
      </c>
      <c r="K33" s="15">
        <f>I33+K32</f>
        <v>807</v>
      </c>
      <c r="L33" s="35">
        <f>I33+K32</f>
        <v>807</v>
      </c>
      <c r="M33" s="15">
        <f>K33+M32</f>
        <v>1211</v>
      </c>
      <c r="N33" s="19">
        <f>K33+M32</f>
        <v>1211</v>
      </c>
      <c r="O33" s="15"/>
      <c r="P33" s="15"/>
      <c r="Q33" s="24">
        <f>M33+Q32</f>
        <v>1532</v>
      </c>
      <c r="R33" s="29">
        <f>M33+Q32</f>
        <v>1532</v>
      </c>
      <c r="S33" s="20"/>
    </row>
    <row r="34" spans="1:19" ht="12.75">
      <c r="A34" s="116"/>
      <c r="B34" s="20"/>
      <c r="C34" s="118"/>
      <c r="D34" s="95"/>
      <c r="E34" s="129"/>
      <c r="F34" s="38"/>
      <c r="G34" s="120"/>
      <c r="H34" s="124"/>
      <c r="I34" s="120"/>
      <c r="J34" s="121"/>
      <c r="K34" s="120"/>
      <c r="L34" s="124"/>
      <c r="M34" s="120"/>
      <c r="N34" s="121"/>
      <c r="O34" s="121"/>
      <c r="P34" s="121"/>
      <c r="Q34" s="120"/>
      <c r="R34" s="121"/>
      <c r="S34" s="20"/>
    </row>
    <row r="35" spans="1:19" ht="12.75">
      <c r="A35" s="116"/>
      <c r="B35" s="20"/>
      <c r="C35" s="118"/>
      <c r="D35" s="95"/>
      <c r="E35" s="129"/>
      <c r="F35" s="38"/>
      <c r="G35" s="120"/>
      <c r="H35" s="124"/>
      <c r="I35" s="120"/>
      <c r="J35" s="121"/>
      <c r="K35" s="120"/>
      <c r="L35" s="124"/>
      <c r="M35" s="120"/>
      <c r="N35" s="121"/>
      <c r="O35" s="121"/>
      <c r="P35" s="121"/>
      <c r="Q35" s="120"/>
      <c r="R35" s="121"/>
      <c r="S35" s="20"/>
    </row>
    <row r="36" spans="1:19" ht="15.75">
      <c r="A36" s="1" t="s">
        <v>30</v>
      </c>
      <c r="B36" s="1"/>
      <c r="F36" s="38"/>
      <c r="G36" s="120"/>
      <c r="H36" s="124"/>
      <c r="I36" s="120"/>
      <c r="J36" s="121"/>
      <c r="K36" s="120"/>
      <c r="L36" s="124"/>
      <c r="M36" s="120"/>
      <c r="N36" s="121"/>
      <c r="O36" s="121"/>
      <c r="P36" s="121"/>
      <c r="Q36" s="120"/>
      <c r="R36" s="121"/>
      <c r="S36" s="20"/>
    </row>
    <row r="37" spans="1:19" ht="15.75">
      <c r="A37" s="1" t="s">
        <v>31</v>
      </c>
      <c r="B37" s="1"/>
      <c r="F37" s="38"/>
      <c r="G37" s="120"/>
      <c r="H37" s="124"/>
      <c r="I37" s="120"/>
      <c r="J37" s="121"/>
      <c r="K37" s="120"/>
      <c r="L37" s="124"/>
      <c r="M37" s="120"/>
      <c r="N37" s="121"/>
      <c r="O37" s="121"/>
      <c r="P37" s="121"/>
      <c r="Q37" s="120"/>
      <c r="R37" s="121"/>
      <c r="S37" s="20"/>
    </row>
    <row r="38" spans="1:19" ht="15.75">
      <c r="A38" s="1" t="s">
        <v>120</v>
      </c>
      <c r="B38" s="1"/>
      <c r="F38" s="38"/>
      <c r="G38" s="120"/>
      <c r="H38" s="124"/>
      <c r="I38" s="120"/>
      <c r="J38" s="121"/>
      <c r="K38" s="120"/>
      <c r="L38" s="124"/>
      <c r="M38" s="120"/>
      <c r="N38" s="121"/>
      <c r="O38" s="121"/>
      <c r="P38" s="121"/>
      <c r="Q38" s="120"/>
      <c r="R38" s="121"/>
      <c r="S38" s="20"/>
    </row>
    <row r="39" spans="1:19" ht="12.75">
      <c r="A39" s="116"/>
      <c r="B39" s="20"/>
      <c r="C39" s="118"/>
      <c r="D39" s="95"/>
      <c r="E39" s="129"/>
      <c r="F39" s="38"/>
      <c r="G39" s="120"/>
      <c r="H39" s="124"/>
      <c r="I39" s="120"/>
      <c r="J39" s="121"/>
      <c r="K39" s="120"/>
      <c r="L39" s="124"/>
      <c r="M39" s="120"/>
      <c r="N39" s="121"/>
      <c r="O39" s="121"/>
      <c r="P39" s="121"/>
      <c r="Q39" s="120"/>
      <c r="R39" s="121"/>
      <c r="S39" s="20"/>
    </row>
    <row r="40" spans="5:19" ht="12.75">
      <c r="E40" s="148" t="s">
        <v>72</v>
      </c>
      <c r="G40" s="147">
        <v>3133</v>
      </c>
      <c r="I40" s="59" t="s">
        <v>97</v>
      </c>
      <c r="S40" s="20"/>
    </row>
    <row r="41" spans="1:19" ht="15.75">
      <c r="A41" s="6" t="s">
        <v>34</v>
      </c>
      <c r="B41" s="6"/>
      <c r="E41" s="151" t="s">
        <v>0</v>
      </c>
      <c r="G41" s="151">
        <v>3133</v>
      </c>
      <c r="H41" s="41"/>
      <c r="I41" s="173" t="s">
        <v>97</v>
      </c>
      <c r="S41" s="20"/>
    </row>
    <row r="42" spans="1:19" ht="12.75">
      <c r="A42" s="41" t="s">
        <v>29</v>
      </c>
      <c r="B42" s="41"/>
      <c r="C42" s="146" t="s">
        <v>71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0"/>
    </row>
    <row r="43" spans="5:19" ht="14.25" customHeight="1">
      <c r="E43" s="16"/>
      <c r="F43" s="16"/>
      <c r="G43" s="13" t="s">
        <v>28</v>
      </c>
      <c r="H43" s="42"/>
      <c r="I43" s="13" t="s">
        <v>14</v>
      </c>
      <c r="J43" s="13"/>
      <c r="K43" s="13" t="s">
        <v>17</v>
      </c>
      <c r="L43" s="42"/>
      <c r="M43" s="13" t="s">
        <v>18</v>
      </c>
      <c r="N43" s="13"/>
      <c r="O43" s="13"/>
      <c r="P43" s="13"/>
      <c r="Q43" s="13" t="s">
        <v>15</v>
      </c>
      <c r="R43" s="13"/>
      <c r="S43" s="20"/>
    </row>
    <row r="44" spans="1:19" ht="14.25" customHeight="1">
      <c r="A44" s="13" t="s">
        <v>1</v>
      </c>
      <c r="C44" s="62" t="s">
        <v>21</v>
      </c>
      <c r="D44" s="11" t="s">
        <v>9</v>
      </c>
      <c r="E44" s="63" t="s">
        <v>20</v>
      </c>
      <c r="F44" s="16"/>
      <c r="G44" s="21" t="s">
        <v>22</v>
      </c>
      <c r="H44" s="45"/>
      <c r="I44" s="21" t="s">
        <v>23</v>
      </c>
      <c r="J44" s="12"/>
      <c r="K44" s="21" t="s">
        <v>23</v>
      </c>
      <c r="L44" s="45"/>
      <c r="M44" s="21" t="s">
        <v>24</v>
      </c>
      <c r="N44" s="12"/>
      <c r="O44" s="12"/>
      <c r="P44" s="12"/>
      <c r="Q44" s="21" t="s">
        <v>22</v>
      </c>
      <c r="R44" s="12"/>
      <c r="S44" s="20"/>
    </row>
    <row r="45" spans="1:19" ht="14.25" customHeight="1">
      <c r="A45" s="13" t="s">
        <v>2</v>
      </c>
      <c r="B45" s="58" t="s">
        <v>37</v>
      </c>
      <c r="E45" s="10"/>
      <c r="F45" s="46"/>
      <c r="G45" s="14" t="s">
        <v>11</v>
      </c>
      <c r="H45" s="48"/>
      <c r="I45" s="14"/>
      <c r="J45" s="7"/>
      <c r="K45" s="14" t="s">
        <v>11</v>
      </c>
      <c r="L45" s="48"/>
      <c r="M45" s="14"/>
      <c r="N45" s="7"/>
      <c r="O45" s="7"/>
      <c r="P45" s="7"/>
      <c r="Q45" s="14"/>
      <c r="R45" s="7"/>
      <c r="S45" s="20"/>
    </row>
    <row r="46" spans="2:19" ht="14.25" customHeight="1">
      <c r="B46" s="58" t="s">
        <v>2</v>
      </c>
      <c r="C46" s="11" t="s">
        <v>10</v>
      </c>
      <c r="E46" s="61" t="s">
        <v>19</v>
      </c>
      <c r="F46" s="48"/>
      <c r="G46" s="14" t="s">
        <v>12</v>
      </c>
      <c r="H46" s="48"/>
      <c r="I46" s="14" t="s">
        <v>12</v>
      </c>
      <c r="J46" s="7"/>
      <c r="K46" s="14" t="s">
        <v>12</v>
      </c>
      <c r="L46" s="48"/>
      <c r="M46" s="14" t="s">
        <v>12</v>
      </c>
      <c r="N46" s="7"/>
      <c r="O46" s="7"/>
      <c r="P46" s="7"/>
      <c r="Q46" s="14" t="s">
        <v>12</v>
      </c>
      <c r="R46" s="7"/>
      <c r="S46" s="20"/>
    </row>
    <row r="47" spans="1:19" ht="14.25" customHeight="1">
      <c r="A47" s="8"/>
      <c r="B47" s="8"/>
      <c r="C47" s="8"/>
      <c r="D47" s="8"/>
      <c r="E47" s="8"/>
      <c r="F47" s="49"/>
      <c r="G47" s="15" t="s">
        <v>13</v>
      </c>
      <c r="H47" s="50"/>
      <c r="I47" s="15" t="s">
        <v>13</v>
      </c>
      <c r="J47" s="9"/>
      <c r="K47" s="15" t="s">
        <v>13</v>
      </c>
      <c r="L47" s="50"/>
      <c r="M47" s="15" t="s">
        <v>13</v>
      </c>
      <c r="N47" s="9"/>
      <c r="O47" s="9"/>
      <c r="P47" s="9"/>
      <c r="Q47" s="15" t="s">
        <v>13</v>
      </c>
      <c r="R47" s="9"/>
      <c r="S47" s="20"/>
    </row>
    <row r="48" spans="1:19" ht="14.25" customHeight="1">
      <c r="A48" s="31"/>
      <c r="B48" s="73"/>
      <c r="C48" s="181">
        <v>806</v>
      </c>
      <c r="D48" s="130" t="s">
        <v>253</v>
      </c>
      <c r="E48" s="142" t="s">
        <v>517</v>
      </c>
      <c r="F48" s="51">
        <v>1</v>
      </c>
      <c r="G48" s="82">
        <v>21.8</v>
      </c>
      <c r="H48" s="34">
        <f>G50</f>
        <v>206</v>
      </c>
      <c r="I48" s="83">
        <v>9.69</v>
      </c>
      <c r="J48" s="34">
        <f>G51+I50</f>
        <v>673</v>
      </c>
      <c r="K48" s="83">
        <v>5.95</v>
      </c>
      <c r="L48" s="34">
        <f>I51+K50</f>
        <v>1249</v>
      </c>
      <c r="M48" s="83">
        <v>1.7</v>
      </c>
      <c r="N48" s="27">
        <f>K51+M50</f>
        <v>1793</v>
      </c>
      <c r="O48" s="84">
        <v>2</v>
      </c>
      <c r="P48" s="7" t="s">
        <v>25</v>
      </c>
      <c r="Q48" s="184" t="s">
        <v>512</v>
      </c>
      <c r="R48" s="28">
        <f>M51+Q50</f>
        <v>2133</v>
      </c>
      <c r="S48" s="20"/>
    </row>
    <row r="49" spans="1:19" ht="14.25" customHeight="1">
      <c r="A49" s="32">
        <v>1</v>
      </c>
      <c r="B49" s="159"/>
      <c r="E49" s="10"/>
      <c r="F49" s="46">
        <v>2</v>
      </c>
      <c r="G49" s="85"/>
      <c r="H49" s="35">
        <f>G50</f>
        <v>206</v>
      </c>
      <c r="I49" s="14"/>
      <c r="J49" s="35">
        <f>G51+I50</f>
        <v>673</v>
      </c>
      <c r="K49" s="85"/>
      <c r="L49" s="35">
        <f>I51+K50</f>
        <v>1249</v>
      </c>
      <c r="M49" s="14"/>
      <c r="N49" s="19">
        <f>K51+M50</f>
        <v>1793</v>
      </c>
      <c r="O49" s="14"/>
      <c r="P49" s="14"/>
      <c r="Q49" s="14"/>
      <c r="R49" s="29">
        <f>M51+Q50</f>
        <v>2133</v>
      </c>
      <c r="S49" s="20"/>
    </row>
    <row r="50" spans="1:19" ht="14.25" customHeight="1">
      <c r="A50" s="32"/>
      <c r="B50" s="175">
        <v>1</v>
      </c>
      <c r="C50" s="11" t="s">
        <v>101</v>
      </c>
      <c r="D50" s="11"/>
      <c r="E50" s="25">
        <f>R51</f>
        <v>2133</v>
      </c>
      <c r="F50" s="53">
        <v>3</v>
      </c>
      <c r="G50" s="17">
        <f>ROUNDDOWN(5.74352*(28.26-(G48))^1.92,0)</f>
        <v>206</v>
      </c>
      <c r="H50" s="35">
        <f>G50</f>
        <v>206</v>
      </c>
      <c r="I50" s="17">
        <f>ROUNDDOWN(51.39*(I48-1.5)^1.05,0)</f>
        <v>467</v>
      </c>
      <c r="J50" s="35">
        <f>G51+I50</f>
        <v>673</v>
      </c>
      <c r="K50" s="17">
        <f>ROUNDDOWN(0.14354*(100*K48-220)^1.4,0)</f>
        <v>576</v>
      </c>
      <c r="L50" s="35">
        <f>I51+K50</f>
        <v>1249</v>
      </c>
      <c r="M50" s="17">
        <f>ROUNDDOWN(0.8465*(100*M48-75)^1.42,0)</f>
        <v>544</v>
      </c>
      <c r="N50" s="19">
        <f>K51+M50</f>
        <v>1793</v>
      </c>
      <c r="O50" s="14"/>
      <c r="P50" s="14"/>
      <c r="Q50" s="23">
        <f>IF(O48+Q48=0,0,TRUNC(0.232*((200-(O48*60+Q48))^1.85)))</f>
        <v>340</v>
      </c>
      <c r="R50" s="29">
        <f>M51+Q50</f>
        <v>2133</v>
      </c>
      <c r="S50" s="20"/>
    </row>
    <row r="51" spans="1:19" ht="14.25" customHeight="1">
      <c r="A51" s="33"/>
      <c r="B51" s="76"/>
      <c r="C51" s="8"/>
      <c r="D51" s="8"/>
      <c r="E51" s="8"/>
      <c r="F51" s="54">
        <v>4</v>
      </c>
      <c r="G51" s="40">
        <f>G50</f>
        <v>206</v>
      </c>
      <c r="H51" s="36">
        <f>G50</f>
        <v>206</v>
      </c>
      <c r="I51" s="15">
        <f>G51+I50</f>
        <v>673</v>
      </c>
      <c r="J51" s="35">
        <f>G51+I50</f>
        <v>673</v>
      </c>
      <c r="K51" s="15">
        <f>I51+K50</f>
        <v>1249</v>
      </c>
      <c r="L51" s="35">
        <f>I51+K50</f>
        <v>1249</v>
      </c>
      <c r="M51" s="15">
        <f>K51+M50</f>
        <v>1793</v>
      </c>
      <c r="N51" s="19">
        <f>K51+M50</f>
        <v>1793</v>
      </c>
      <c r="O51" s="15"/>
      <c r="P51" s="15"/>
      <c r="Q51" s="24">
        <f>M51+Q50</f>
        <v>2133</v>
      </c>
      <c r="R51" s="29">
        <f>M51+Q50</f>
        <v>2133</v>
      </c>
      <c r="S51" s="20"/>
    </row>
    <row r="52" spans="1:19" ht="14.25" customHeight="1">
      <c r="A52" s="31"/>
      <c r="B52" s="73"/>
      <c r="C52" s="181">
        <v>807</v>
      </c>
      <c r="D52" s="130" t="s">
        <v>254</v>
      </c>
      <c r="E52" s="142" t="s">
        <v>518</v>
      </c>
      <c r="F52" s="51">
        <v>5</v>
      </c>
      <c r="G52" s="82">
        <v>19.8</v>
      </c>
      <c r="H52" s="34">
        <f>G54</f>
        <v>346</v>
      </c>
      <c r="I52" s="83">
        <v>7.77</v>
      </c>
      <c r="J52" s="34">
        <f>G55+I54</f>
        <v>699</v>
      </c>
      <c r="K52" s="83">
        <v>5.7</v>
      </c>
      <c r="L52" s="34">
        <f>I55+K54</f>
        <v>1222</v>
      </c>
      <c r="M52" s="83">
        <v>1.91</v>
      </c>
      <c r="N52" s="27">
        <f>K55+M54</f>
        <v>1945</v>
      </c>
      <c r="O52" s="84">
        <v>3</v>
      </c>
      <c r="P52" s="7" t="s">
        <v>25</v>
      </c>
      <c r="Q52" s="184" t="s">
        <v>516</v>
      </c>
      <c r="R52" s="28">
        <f>M55+Q54</f>
        <v>1987</v>
      </c>
      <c r="S52" s="20"/>
    </row>
    <row r="53" spans="1:18" ht="14.25" customHeight="1">
      <c r="A53" s="32">
        <v>2</v>
      </c>
      <c r="B53" s="74"/>
      <c r="E53" s="10"/>
      <c r="F53" s="46">
        <v>6</v>
      </c>
      <c r="G53" s="85"/>
      <c r="H53" s="35">
        <f>G54</f>
        <v>346</v>
      </c>
      <c r="I53" s="14"/>
      <c r="J53" s="35">
        <f>G55+I54</f>
        <v>699</v>
      </c>
      <c r="K53" s="85"/>
      <c r="L53" s="35">
        <f>I55+K54</f>
        <v>1222</v>
      </c>
      <c r="M53" s="14"/>
      <c r="N53" s="19">
        <f>K55+M54</f>
        <v>1945</v>
      </c>
      <c r="O53" s="14"/>
      <c r="P53" s="14"/>
      <c r="Q53" s="14"/>
      <c r="R53" s="29">
        <f>M55+Q54</f>
        <v>1987</v>
      </c>
    </row>
    <row r="54" spans="1:18" ht="14.25" customHeight="1">
      <c r="A54" s="32"/>
      <c r="B54" s="77">
        <v>2</v>
      </c>
      <c r="C54" s="11" t="s">
        <v>101</v>
      </c>
      <c r="D54" s="11"/>
      <c r="E54" s="25">
        <f>R55</f>
        <v>1987</v>
      </c>
      <c r="F54" s="53">
        <v>7</v>
      </c>
      <c r="G54" s="17">
        <f>ROUNDDOWN(5.74352*(28.26-(G52))^1.92,0)</f>
        <v>346</v>
      </c>
      <c r="H54" s="35">
        <f>G54</f>
        <v>346</v>
      </c>
      <c r="I54" s="17">
        <f>ROUNDDOWN(51.39*(I52-1.5)^1.05,0)</f>
        <v>353</v>
      </c>
      <c r="J54" s="35">
        <f>G55+I54</f>
        <v>699</v>
      </c>
      <c r="K54" s="17">
        <f>ROUNDDOWN(0.14354*(100*K52-220)^1.4,0)</f>
        <v>523</v>
      </c>
      <c r="L54" s="35">
        <f>I55+K54</f>
        <v>1222</v>
      </c>
      <c r="M54" s="17">
        <f>ROUNDDOWN(0.8465*(100*M52-75)^1.42,0)</f>
        <v>723</v>
      </c>
      <c r="N54" s="19">
        <f>K55+M54</f>
        <v>1945</v>
      </c>
      <c r="O54" s="14"/>
      <c r="P54" s="14"/>
      <c r="Q54" s="23">
        <f>IF(O52+Q52=0,0,TRUNC(0.232*((200-(O52*60+Q52))^1.85)))</f>
        <v>42</v>
      </c>
      <c r="R54" s="29">
        <f>M55+Q54</f>
        <v>1987</v>
      </c>
    </row>
    <row r="55" spans="1:18" ht="14.25" customHeight="1">
      <c r="A55" s="33"/>
      <c r="B55" s="76"/>
      <c r="C55" s="8"/>
      <c r="D55" s="8"/>
      <c r="E55" s="8"/>
      <c r="F55" s="54">
        <v>8</v>
      </c>
      <c r="G55" s="40">
        <f>G54</f>
        <v>346</v>
      </c>
      <c r="H55" s="36">
        <f>G54</f>
        <v>346</v>
      </c>
      <c r="I55" s="15">
        <f>G55+I54</f>
        <v>699</v>
      </c>
      <c r="J55" s="35">
        <f>G55+I54</f>
        <v>699</v>
      </c>
      <c r="K55" s="15">
        <f>I55+K54</f>
        <v>1222</v>
      </c>
      <c r="L55" s="35">
        <f>I55+K54</f>
        <v>1222</v>
      </c>
      <c r="M55" s="15">
        <f>K55+M54</f>
        <v>1945</v>
      </c>
      <c r="N55" s="19">
        <f>K55+M54</f>
        <v>1945</v>
      </c>
      <c r="O55" s="15"/>
      <c r="P55" s="15"/>
      <c r="Q55" s="24">
        <f>M55+Q54</f>
        <v>1987</v>
      </c>
      <c r="R55" s="29">
        <f>M55+Q54</f>
        <v>1987</v>
      </c>
    </row>
    <row r="65" spans="1:19" ht="12.75">
      <c r="A65" s="20"/>
      <c r="B65" s="20"/>
      <c r="C65" s="20"/>
      <c r="D65" s="20"/>
      <c r="E65" s="20"/>
      <c r="F65" s="20"/>
      <c r="G65" s="20"/>
      <c r="H65" s="19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ht="15.75">
      <c r="A66" s="114"/>
      <c r="B66" s="114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ht="15.75">
      <c r="A67" s="114"/>
      <c r="B67" s="114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ht="15.75">
      <c r="A68" s="114"/>
      <c r="B68" s="114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 ht="15.75">
      <c r="A70" s="6"/>
      <c r="B70" s="6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24" ht="12.75">
      <c r="A71" s="115"/>
      <c r="B71" s="115"/>
      <c r="C71" s="20"/>
      <c r="D71" s="20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16"/>
      <c r="U71" s="16"/>
      <c r="V71" s="16"/>
      <c r="W71" s="16"/>
      <c r="X71" s="16"/>
    </row>
    <row r="72" spans="1:24" ht="12.75">
      <c r="A72" s="20"/>
      <c r="B72" s="20"/>
      <c r="C72" s="20"/>
      <c r="D72" s="20"/>
      <c r="E72" s="38"/>
      <c r="F72" s="38"/>
      <c r="G72" s="116"/>
      <c r="H72" s="123"/>
      <c r="I72" s="116"/>
      <c r="J72" s="116"/>
      <c r="K72" s="116"/>
      <c r="L72" s="123"/>
      <c r="M72" s="116"/>
      <c r="N72" s="116"/>
      <c r="O72" s="116"/>
      <c r="P72" s="116"/>
      <c r="Q72" s="116"/>
      <c r="R72" s="116"/>
      <c r="S72" s="123"/>
      <c r="T72" s="42"/>
      <c r="U72" s="42"/>
      <c r="V72" s="42"/>
      <c r="W72" s="43"/>
      <c r="X72" s="16"/>
    </row>
    <row r="73" spans="1:24" ht="14.25" customHeight="1">
      <c r="A73" s="116"/>
      <c r="B73" s="117"/>
      <c r="C73" s="118"/>
      <c r="D73" s="95"/>
      <c r="E73" s="119"/>
      <c r="F73" s="38"/>
      <c r="G73" s="120"/>
      <c r="H73" s="124"/>
      <c r="I73" s="120"/>
      <c r="J73" s="121"/>
      <c r="K73" s="120"/>
      <c r="L73" s="124"/>
      <c r="M73" s="120"/>
      <c r="N73" s="121"/>
      <c r="O73" s="121"/>
      <c r="P73" s="121"/>
      <c r="Q73" s="120"/>
      <c r="R73" s="121"/>
      <c r="S73" s="125"/>
      <c r="T73" s="45"/>
      <c r="U73" s="45"/>
      <c r="V73" s="45"/>
      <c r="W73" s="44"/>
      <c r="X73" s="16"/>
    </row>
    <row r="74" spans="1:24" ht="12.75">
      <c r="A74" s="116"/>
      <c r="B74" s="117"/>
      <c r="C74" s="20"/>
      <c r="D74" s="20"/>
      <c r="E74" s="105"/>
      <c r="F74" s="126"/>
      <c r="G74" s="18"/>
      <c r="H74" s="55"/>
      <c r="I74" s="18"/>
      <c r="J74" s="19"/>
      <c r="K74" s="18"/>
      <c r="L74" s="55"/>
      <c r="M74" s="18"/>
      <c r="N74" s="19"/>
      <c r="O74" s="19"/>
      <c r="P74" s="19"/>
      <c r="Q74" s="18"/>
      <c r="R74" s="19"/>
      <c r="S74" s="22"/>
      <c r="T74" s="48"/>
      <c r="U74" s="48"/>
      <c r="V74" s="48"/>
      <c r="W74" s="47"/>
      <c r="X74" s="16"/>
    </row>
    <row r="75" spans="1:24" ht="14.25" customHeight="1">
      <c r="A75" s="20"/>
      <c r="B75" s="20"/>
      <c r="C75" s="95"/>
      <c r="D75" s="20"/>
      <c r="E75" s="96"/>
      <c r="F75" s="55"/>
      <c r="G75" s="18"/>
      <c r="H75" s="55"/>
      <c r="I75" s="18"/>
      <c r="J75" s="19"/>
      <c r="K75" s="18"/>
      <c r="L75" s="55"/>
      <c r="M75" s="18"/>
      <c r="N75" s="19"/>
      <c r="O75" s="19"/>
      <c r="P75" s="19"/>
      <c r="Q75" s="18"/>
      <c r="R75" s="19"/>
      <c r="S75" s="22"/>
      <c r="T75" s="48"/>
      <c r="U75" s="48"/>
      <c r="V75" s="48"/>
      <c r="W75" s="47"/>
      <c r="X75" s="16"/>
    </row>
    <row r="76" spans="1:24" ht="12.75">
      <c r="A76" s="20"/>
      <c r="B76" s="20"/>
      <c r="C76" s="20"/>
      <c r="D76" s="20"/>
      <c r="E76" s="20"/>
      <c r="F76" s="38"/>
      <c r="G76" s="18"/>
      <c r="H76" s="55"/>
      <c r="I76" s="18"/>
      <c r="J76" s="19"/>
      <c r="K76" s="18"/>
      <c r="L76" s="55"/>
      <c r="M76" s="18"/>
      <c r="N76" s="19"/>
      <c r="O76" s="19"/>
      <c r="P76" s="19"/>
      <c r="Q76" s="18"/>
      <c r="R76" s="19"/>
      <c r="S76" s="22"/>
      <c r="T76" s="55"/>
      <c r="U76" s="55"/>
      <c r="V76" s="55"/>
      <c r="W76" s="22"/>
      <c r="X76" s="16"/>
    </row>
    <row r="77" spans="1:24" ht="14.25" customHeight="1">
      <c r="A77" s="97"/>
      <c r="B77" s="73"/>
      <c r="C77" s="98"/>
      <c r="D77" s="95"/>
      <c r="E77" s="99"/>
      <c r="F77" s="127"/>
      <c r="G77" s="102"/>
      <c r="H77" s="35"/>
      <c r="I77" s="101"/>
      <c r="J77" s="35"/>
      <c r="K77" s="101"/>
      <c r="L77" s="35"/>
      <c r="M77" s="101"/>
      <c r="N77" s="19"/>
      <c r="O77" s="122"/>
      <c r="P77" s="19"/>
      <c r="Q77" s="104"/>
      <c r="R77" s="29"/>
      <c r="S77" s="56"/>
      <c r="T77" s="52"/>
      <c r="U77" s="22"/>
      <c r="V77" s="55"/>
      <c r="W77" s="57"/>
      <c r="X77" s="52"/>
    </row>
    <row r="78" spans="1:24" ht="12.75" customHeight="1">
      <c r="A78" s="97"/>
      <c r="B78" s="73"/>
      <c r="C78" s="20"/>
      <c r="D78" s="20"/>
      <c r="E78" s="105"/>
      <c r="F78" s="126"/>
      <c r="G78" s="106"/>
      <c r="H78" s="35"/>
      <c r="I78" s="106"/>
      <c r="J78" s="35"/>
      <c r="K78" s="18"/>
      <c r="L78" s="35"/>
      <c r="M78" s="18"/>
      <c r="N78" s="19"/>
      <c r="O78" s="18"/>
      <c r="P78" s="18"/>
      <c r="Q78" s="18"/>
      <c r="R78" s="29"/>
      <c r="S78" s="22"/>
      <c r="T78" s="52"/>
      <c r="U78" s="22"/>
      <c r="V78" s="22"/>
      <c r="W78" s="22"/>
      <c r="X78" s="52"/>
    </row>
    <row r="79" spans="1:24" ht="14.25" customHeight="1">
      <c r="A79" s="97"/>
      <c r="B79" s="107"/>
      <c r="C79" s="95"/>
      <c r="D79" s="95"/>
      <c r="E79" s="108"/>
      <c r="F79" s="128"/>
      <c r="G79" s="17"/>
      <c r="H79" s="35"/>
      <c r="I79" s="17"/>
      <c r="J79" s="35"/>
      <c r="K79" s="17"/>
      <c r="L79" s="35"/>
      <c r="M79" s="17"/>
      <c r="N79" s="19"/>
      <c r="O79" s="18"/>
      <c r="P79" s="18"/>
      <c r="Q79" s="23"/>
      <c r="R79" s="29"/>
      <c r="S79" s="17"/>
      <c r="T79" s="52"/>
      <c r="U79" s="22"/>
      <c r="V79" s="22"/>
      <c r="W79" s="39"/>
      <c r="X79" s="52"/>
    </row>
    <row r="80" spans="1:24" ht="14.25" customHeight="1">
      <c r="A80" s="97"/>
      <c r="B80" s="73"/>
      <c r="C80" s="20"/>
      <c r="D80" s="20"/>
      <c r="E80" s="20"/>
      <c r="F80" s="126"/>
      <c r="G80" s="22"/>
      <c r="H80" s="35"/>
      <c r="I80" s="18"/>
      <c r="J80" s="35"/>
      <c r="K80" s="18"/>
      <c r="L80" s="35"/>
      <c r="M80" s="18"/>
      <c r="N80" s="19"/>
      <c r="O80" s="18"/>
      <c r="P80" s="18"/>
      <c r="Q80" s="110"/>
      <c r="R80" s="29"/>
      <c r="S80" s="22"/>
      <c r="T80" s="52"/>
      <c r="U80" s="22"/>
      <c r="V80" s="22"/>
      <c r="W80" s="39"/>
      <c r="X80" s="52"/>
    </row>
    <row r="81" spans="1:24" ht="14.25" customHeight="1">
      <c r="A81" s="97"/>
      <c r="B81" s="73"/>
      <c r="C81" s="98"/>
      <c r="D81" s="95"/>
      <c r="E81" s="99"/>
      <c r="F81" s="127"/>
      <c r="G81" s="102"/>
      <c r="H81" s="35"/>
      <c r="I81" s="101"/>
      <c r="J81" s="35"/>
      <c r="K81" s="101"/>
      <c r="L81" s="35"/>
      <c r="M81" s="101"/>
      <c r="N81" s="19"/>
      <c r="O81" s="122"/>
      <c r="P81" s="19"/>
      <c r="Q81" s="104"/>
      <c r="R81" s="29"/>
      <c r="S81" s="56"/>
      <c r="T81" s="52"/>
      <c r="U81" s="22"/>
      <c r="V81" s="55"/>
      <c r="W81" s="57"/>
      <c r="X81" s="52"/>
    </row>
    <row r="82" spans="1:24" ht="12.75" customHeight="1">
      <c r="A82" s="97"/>
      <c r="B82" s="73"/>
      <c r="C82" s="20"/>
      <c r="D82" s="20"/>
      <c r="E82" s="105"/>
      <c r="F82" s="126"/>
      <c r="G82" s="106"/>
      <c r="H82" s="35"/>
      <c r="I82" s="106"/>
      <c r="J82" s="35"/>
      <c r="K82" s="18"/>
      <c r="L82" s="35"/>
      <c r="M82" s="18"/>
      <c r="N82" s="19"/>
      <c r="O82" s="18"/>
      <c r="P82" s="18"/>
      <c r="Q82" s="18"/>
      <c r="R82" s="29"/>
      <c r="S82" s="22"/>
      <c r="T82" s="52"/>
      <c r="U82" s="22"/>
      <c r="V82" s="22"/>
      <c r="W82" s="22"/>
      <c r="X82" s="52"/>
    </row>
    <row r="83" spans="1:24" ht="14.25" customHeight="1">
      <c r="A83" s="97"/>
      <c r="B83" s="111"/>
      <c r="C83" s="95"/>
      <c r="D83" s="95"/>
      <c r="E83" s="108"/>
      <c r="F83" s="128"/>
      <c r="G83" s="17"/>
      <c r="H83" s="35"/>
      <c r="I83" s="17"/>
      <c r="J83" s="35"/>
      <c r="K83" s="17"/>
      <c r="L83" s="35"/>
      <c r="M83" s="17"/>
      <c r="N83" s="19"/>
      <c r="O83" s="18"/>
      <c r="P83" s="18"/>
      <c r="Q83" s="23"/>
      <c r="R83" s="29"/>
      <c r="S83" s="17"/>
      <c r="T83" s="52"/>
      <c r="U83" s="22"/>
      <c r="V83" s="22"/>
      <c r="W83" s="39"/>
      <c r="X83" s="52"/>
    </row>
    <row r="84" spans="1:24" ht="14.25" customHeight="1">
      <c r="A84" s="97"/>
      <c r="B84" s="73"/>
      <c r="C84" s="20"/>
      <c r="D84" s="20"/>
      <c r="E84" s="20"/>
      <c r="F84" s="126"/>
      <c r="G84" s="22"/>
      <c r="H84" s="35"/>
      <c r="I84" s="18"/>
      <c r="J84" s="35"/>
      <c r="K84" s="18"/>
      <c r="L84" s="35"/>
      <c r="M84" s="18"/>
      <c r="N84" s="19"/>
      <c r="O84" s="18"/>
      <c r="P84" s="18"/>
      <c r="Q84" s="110"/>
      <c r="R84" s="29"/>
      <c r="S84" s="22"/>
      <c r="T84" s="52"/>
      <c r="U84" s="22"/>
      <c r="V84" s="22"/>
      <c r="W84" s="39"/>
      <c r="X84" s="52"/>
    </row>
    <row r="85" spans="1:24" ht="14.25" customHeight="1">
      <c r="A85" s="97"/>
      <c r="B85" s="73"/>
      <c r="C85" s="98"/>
      <c r="D85" s="95"/>
      <c r="E85" s="99"/>
      <c r="F85" s="127"/>
      <c r="G85" s="102"/>
      <c r="H85" s="35"/>
      <c r="I85" s="101"/>
      <c r="J85" s="35"/>
      <c r="K85" s="101"/>
      <c r="L85" s="35"/>
      <c r="M85" s="101"/>
      <c r="N85" s="19"/>
      <c r="O85" s="122"/>
      <c r="P85" s="19"/>
      <c r="Q85" s="104"/>
      <c r="R85" s="29"/>
      <c r="S85" s="56"/>
      <c r="T85" s="52"/>
      <c r="U85" s="22"/>
      <c r="V85" s="55"/>
      <c r="W85" s="57"/>
      <c r="X85" s="52"/>
    </row>
    <row r="86" spans="1:24" ht="12.75" customHeight="1">
      <c r="A86" s="97"/>
      <c r="B86" s="73"/>
      <c r="C86" s="20"/>
      <c r="D86" s="20"/>
      <c r="E86" s="105"/>
      <c r="F86" s="126"/>
      <c r="G86" s="106"/>
      <c r="H86" s="35"/>
      <c r="I86" s="106"/>
      <c r="J86" s="35"/>
      <c r="K86" s="18"/>
      <c r="L86" s="35"/>
      <c r="M86" s="18"/>
      <c r="N86" s="19"/>
      <c r="O86" s="18"/>
      <c r="P86" s="18"/>
      <c r="Q86" s="18"/>
      <c r="R86" s="29"/>
      <c r="S86" s="22"/>
      <c r="T86" s="52"/>
      <c r="U86" s="22"/>
      <c r="V86" s="22"/>
      <c r="W86" s="22"/>
      <c r="X86" s="52"/>
    </row>
    <row r="87" spans="1:24" ht="14.25" customHeight="1">
      <c r="A87" s="97"/>
      <c r="B87" s="112"/>
      <c r="C87" s="95"/>
      <c r="D87" s="95"/>
      <c r="E87" s="108"/>
      <c r="F87" s="128"/>
      <c r="G87" s="17"/>
      <c r="H87" s="35"/>
      <c r="I87" s="17"/>
      <c r="J87" s="35"/>
      <c r="K87" s="17"/>
      <c r="L87" s="35"/>
      <c r="M87" s="17"/>
      <c r="N87" s="19"/>
      <c r="O87" s="18"/>
      <c r="P87" s="18"/>
      <c r="Q87" s="23"/>
      <c r="R87" s="29"/>
      <c r="S87" s="17"/>
      <c r="T87" s="52"/>
      <c r="U87" s="22"/>
      <c r="V87" s="22"/>
      <c r="W87" s="39"/>
      <c r="X87" s="52"/>
    </row>
    <row r="88" spans="1:24" ht="14.25" customHeight="1">
      <c r="A88" s="97"/>
      <c r="B88" s="73"/>
      <c r="C88" s="20"/>
      <c r="D88" s="20"/>
      <c r="E88" s="20"/>
      <c r="F88" s="126"/>
      <c r="G88" s="22"/>
      <c r="H88" s="35"/>
      <c r="I88" s="18"/>
      <c r="J88" s="35"/>
      <c r="K88" s="18"/>
      <c r="L88" s="35"/>
      <c r="M88" s="18"/>
      <c r="N88" s="19"/>
      <c r="O88" s="18"/>
      <c r="P88" s="18"/>
      <c r="Q88" s="110"/>
      <c r="R88" s="29"/>
      <c r="S88" s="22"/>
      <c r="T88" s="52"/>
      <c r="U88" s="22"/>
      <c r="V88" s="22"/>
      <c r="W88" s="39"/>
      <c r="X88" s="52"/>
    </row>
    <row r="89" spans="1:24" ht="14.25" customHeight="1">
      <c r="A89" s="97"/>
      <c r="B89" s="73"/>
      <c r="C89" s="98"/>
      <c r="D89" s="95"/>
      <c r="E89" s="99"/>
      <c r="F89" s="127"/>
      <c r="G89" s="102"/>
      <c r="H89" s="35"/>
      <c r="I89" s="101"/>
      <c r="J89" s="35"/>
      <c r="K89" s="101"/>
      <c r="L89" s="35"/>
      <c r="M89" s="101"/>
      <c r="N89" s="19"/>
      <c r="O89" s="122"/>
      <c r="P89" s="19"/>
      <c r="Q89" s="104"/>
      <c r="R89" s="29"/>
      <c r="S89" s="56"/>
      <c r="T89" s="52"/>
      <c r="U89" s="22"/>
      <c r="V89" s="55"/>
      <c r="W89" s="57"/>
      <c r="X89" s="52"/>
    </row>
    <row r="90" spans="1:24" ht="12.75" customHeight="1">
      <c r="A90" s="97"/>
      <c r="B90" s="73"/>
      <c r="C90" s="20"/>
      <c r="D90" s="20"/>
      <c r="E90" s="105"/>
      <c r="F90" s="126"/>
      <c r="G90" s="106"/>
      <c r="H90" s="35"/>
      <c r="I90" s="106"/>
      <c r="J90" s="35"/>
      <c r="K90" s="18"/>
      <c r="L90" s="35"/>
      <c r="M90" s="18"/>
      <c r="N90" s="19"/>
      <c r="O90" s="18"/>
      <c r="P90" s="18"/>
      <c r="Q90" s="18"/>
      <c r="R90" s="29"/>
      <c r="S90" s="22"/>
      <c r="T90" s="52"/>
      <c r="U90" s="22"/>
      <c r="V90" s="22"/>
      <c r="W90" s="22"/>
      <c r="X90" s="52"/>
    </row>
    <row r="91" spans="1:24" ht="14.25" customHeight="1">
      <c r="A91" s="97"/>
      <c r="B91" s="81"/>
      <c r="C91" s="95"/>
      <c r="D91" s="95"/>
      <c r="E91" s="108"/>
      <c r="F91" s="128"/>
      <c r="G91" s="17"/>
      <c r="H91" s="35"/>
      <c r="I91" s="17"/>
      <c r="J91" s="35"/>
      <c r="K91" s="17"/>
      <c r="L91" s="35"/>
      <c r="M91" s="17"/>
      <c r="N91" s="19"/>
      <c r="O91" s="18"/>
      <c r="P91" s="18"/>
      <c r="Q91" s="23"/>
      <c r="R91" s="29"/>
      <c r="S91" s="17"/>
      <c r="T91" s="52"/>
      <c r="U91" s="22"/>
      <c r="V91" s="22"/>
      <c r="W91" s="39"/>
      <c r="X91" s="52"/>
    </row>
    <row r="92" spans="1:24" ht="14.25" customHeight="1">
      <c r="A92" s="97"/>
      <c r="B92" s="73"/>
      <c r="C92" s="20"/>
      <c r="D92" s="20"/>
      <c r="E92" s="20"/>
      <c r="F92" s="126"/>
      <c r="G92" s="22"/>
      <c r="H92" s="35"/>
      <c r="I92" s="18"/>
      <c r="J92" s="35"/>
      <c r="K92" s="18"/>
      <c r="L92" s="35"/>
      <c r="M92" s="18"/>
      <c r="N92" s="19"/>
      <c r="O92" s="18"/>
      <c r="P92" s="18"/>
      <c r="Q92" s="110"/>
      <c r="R92" s="29"/>
      <c r="S92" s="22"/>
      <c r="T92" s="52"/>
      <c r="U92" s="22"/>
      <c r="V92" s="22"/>
      <c r="W92" s="39"/>
      <c r="X92" s="52"/>
    </row>
    <row r="93" spans="1:24" ht="14.25" customHeight="1">
      <c r="A93" s="97"/>
      <c r="B93" s="73"/>
      <c r="C93" s="98"/>
      <c r="D93" s="95"/>
      <c r="E93" s="99"/>
      <c r="F93" s="127"/>
      <c r="G93" s="102"/>
      <c r="H93" s="35"/>
      <c r="I93" s="101"/>
      <c r="J93" s="35"/>
      <c r="K93" s="101"/>
      <c r="L93" s="35"/>
      <c r="M93" s="101"/>
      <c r="N93" s="19"/>
      <c r="O93" s="122"/>
      <c r="P93" s="19"/>
      <c r="Q93" s="104"/>
      <c r="R93" s="29"/>
      <c r="S93" s="56"/>
      <c r="T93" s="52"/>
      <c r="U93" s="22"/>
      <c r="V93" s="55"/>
      <c r="W93" s="57"/>
      <c r="X93" s="52"/>
    </row>
    <row r="94" spans="1:24" ht="12.75" customHeight="1">
      <c r="A94" s="97"/>
      <c r="B94" s="73"/>
      <c r="C94" s="20"/>
      <c r="D94" s="20"/>
      <c r="E94" s="105"/>
      <c r="F94" s="126"/>
      <c r="G94" s="106"/>
      <c r="H94" s="35"/>
      <c r="I94" s="106"/>
      <c r="J94" s="35"/>
      <c r="K94" s="18"/>
      <c r="L94" s="35"/>
      <c r="M94" s="18"/>
      <c r="N94" s="19"/>
      <c r="O94" s="18"/>
      <c r="P94" s="18"/>
      <c r="Q94" s="18"/>
      <c r="R94" s="29"/>
      <c r="S94" s="22"/>
      <c r="T94" s="52"/>
      <c r="U94" s="22"/>
      <c r="V94" s="22"/>
      <c r="W94" s="22"/>
      <c r="X94" s="52"/>
    </row>
    <row r="95" spans="1:24" ht="14.25" customHeight="1">
      <c r="A95" s="97"/>
      <c r="B95" s="81"/>
      <c r="C95" s="95"/>
      <c r="D95" s="95"/>
      <c r="E95" s="108"/>
      <c r="F95" s="128"/>
      <c r="G95" s="17"/>
      <c r="H95" s="35"/>
      <c r="I95" s="17"/>
      <c r="J95" s="35"/>
      <c r="K95" s="17"/>
      <c r="L95" s="35"/>
      <c r="M95" s="17"/>
      <c r="N95" s="19"/>
      <c r="O95" s="18"/>
      <c r="P95" s="18"/>
      <c r="Q95" s="23"/>
      <c r="R95" s="29"/>
      <c r="S95" s="17"/>
      <c r="T95" s="52"/>
      <c r="U95" s="22"/>
      <c r="V95" s="22"/>
      <c r="W95" s="39"/>
      <c r="X95" s="52"/>
    </row>
    <row r="96" spans="1:24" ht="14.25" customHeight="1">
      <c r="A96" s="97"/>
      <c r="B96" s="73"/>
      <c r="C96" s="20"/>
      <c r="D96" s="20"/>
      <c r="E96" s="20"/>
      <c r="F96" s="126"/>
      <c r="G96" s="22"/>
      <c r="H96" s="35"/>
      <c r="I96" s="18"/>
      <c r="J96" s="35"/>
      <c r="K96" s="18"/>
      <c r="L96" s="35"/>
      <c r="M96" s="18"/>
      <c r="N96" s="19"/>
      <c r="O96" s="18"/>
      <c r="P96" s="18"/>
      <c r="Q96" s="110"/>
      <c r="R96" s="29"/>
      <c r="S96" s="22"/>
      <c r="T96" s="52"/>
      <c r="U96" s="22"/>
      <c r="V96" s="22"/>
      <c r="W96" s="39"/>
      <c r="X96" s="52"/>
    </row>
    <row r="97" spans="1:24" ht="14.25" customHeight="1">
      <c r="A97" s="97"/>
      <c r="B97" s="73"/>
      <c r="C97" s="98"/>
      <c r="D97" s="95"/>
      <c r="E97" s="99"/>
      <c r="F97" s="127"/>
      <c r="G97" s="102"/>
      <c r="H97" s="35"/>
      <c r="I97" s="101"/>
      <c r="J97" s="35"/>
      <c r="K97" s="101"/>
      <c r="L97" s="35"/>
      <c r="M97" s="101"/>
      <c r="N97" s="19"/>
      <c r="O97" s="122"/>
      <c r="P97" s="19"/>
      <c r="Q97" s="104"/>
      <c r="R97" s="29"/>
      <c r="S97" s="56"/>
      <c r="T97" s="52"/>
      <c r="U97" s="22"/>
      <c r="V97" s="55"/>
      <c r="W97" s="57"/>
      <c r="X97" s="52"/>
    </row>
    <row r="98" spans="1:24" ht="12.75" customHeight="1">
      <c r="A98" s="97"/>
      <c r="B98" s="73"/>
      <c r="C98" s="20"/>
      <c r="D98" s="20"/>
      <c r="E98" s="105"/>
      <c r="F98" s="126"/>
      <c r="G98" s="106"/>
      <c r="H98" s="35"/>
      <c r="I98" s="106"/>
      <c r="J98" s="35"/>
      <c r="K98" s="18"/>
      <c r="L98" s="35"/>
      <c r="M98" s="18"/>
      <c r="N98" s="19"/>
      <c r="O98" s="18"/>
      <c r="P98" s="18"/>
      <c r="Q98" s="18"/>
      <c r="R98" s="29"/>
      <c r="S98" s="22"/>
      <c r="T98" s="52"/>
      <c r="U98" s="22"/>
      <c r="V98" s="22"/>
      <c r="W98" s="22"/>
      <c r="X98" s="52"/>
    </row>
    <row r="99" spans="1:24" ht="14.25" customHeight="1">
      <c r="A99" s="97"/>
      <c r="B99" s="81"/>
      <c r="C99" s="95"/>
      <c r="D99" s="95"/>
      <c r="E99" s="108"/>
      <c r="F99" s="128"/>
      <c r="G99" s="17"/>
      <c r="H99" s="35"/>
      <c r="I99" s="17"/>
      <c r="J99" s="35"/>
      <c r="K99" s="17"/>
      <c r="L99" s="35"/>
      <c r="M99" s="17"/>
      <c r="N99" s="19"/>
      <c r="O99" s="18"/>
      <c r="P99" s="18"/>
      <c r="Q99" s="23"/>
      <c r="R99" s="29"/>
      <c r="S99" s="17"/>
      <c r="T99" s="52"/>
      <c r="U99" s="22"/>
      <c r="V99" s="22"/>
      <c r="W99" s="39"/>
      <c r="X99" s="52"/>
    </row>
    <row r="100" spans="1:24" ht="14.25" customHeight="1">
      <c r="A100" s="97"/>
      <c r="B100" s="81"/>
      <c r="C100" s="20"/>
      <c r="D100" s="20"/>
      <c r="E100" s="20"/>
      <c r="F100" s="126"/>
      <c r="G100" s="22"/>
      <c r="H100" s="35"/>
      <c r="I100" s="18"/>
      <c r="J100" s="35"/>
      <c r="K100" s="18"/>
      <c r="L100" s="35"/>
      <c r="M100" s="18"/>
      <c r="N100" s="19"/>
      <c r="O100" s="18"/>
      <c r="P100" s="18"/>
      <c r="Q100" s="110"/>
      <c r="R100" s="29"/>
      <c r="S100" s="22"/>
      <c r="T100" s="52"/>
      <c r="U100" s="22"/>
      <c r="V100" s="22"/>
      <c r="W100" s="39"/>
      <c r="X100" s="52"/>
    </row>
    <row r="101" spans="1:24" ht="14.25" customHeight="1">
      <c r="A101" s="97"/>
      <c r="B101" s="81"/>
      <c r="C101" s="98"/>
      <c r="D101" s="95"/>
      <c r="E101" s="99"/>
      <c r="F101" s="127"/>
      <c r="G101" s="102"/>
      <c r="H101" s="35"/>
      <c r="I101" s="101"/>
      <c r="J101" s="35"/>
      <c r="K101" s="101"/>
      <c r="L101" s="35"/>
      <c r="M101" s="101"/>
      <c r="N101" s="19"/>
      <c r="O101" s="122"/>
      <c r="P101" s="19"/>
      <c r="Q101" s="104"/>
      <c r="R101" s="29"/>
      <c r="S101" s="56"/>
      <c r="T101" s="52"/>
      <c r="U101" s="22"/>
      <c r="V101" s="55"/>
      <c r="W101" s="57"/>
      <c r="X101" s="52"/>
    </row>
    <row r="102" spans="1:24" ht="12.75" customHeight="1">
      <c r="A102" s="97"/>
      <c r="B102" s="81"/>
      <c r="C102" s="20"/>
      <c r="D102" s="20"/>
      <c r="E102" s="105"/>
      <c r="F102" s="126"/>
      <c r="G102" s="106"/>
      <c r="H102" s="35"/>
      <c r="I102" s="106"/>
      <c r="J102" s="35"/>
      <c r="K102" s="18"/>
      <c r="L102" s="35"/>
      <c r="M102" s="18"/>
      <c r="N102" s="19"/>
      <c r="O102" s="18"/>
      <c r="P102" s="18"/>
      <c r="Q102" s="18"/>
      <c r="R102" s="29"/>
      <c r="S102" s="22"/>
      <c r="T102" s="52"/>
      <c r="U102" s="22"/>
      <c r="V102" s="22"/>
      <c r="W102" s="22"/>
      <c r="X102" s="52"/>
    </row>
    <row r="103" spans="1:24" ht="14.25" customHeight="1">
      <c r="A103" s="97"/>
      <c r="B103" s="81"/>
      <c r="C103" s="95"/>
      <c r="D103" s="95"/>
      <c r="E103" s="108"/>
      <c r="F103" s="128"/>
      <c r="G103" s="17"/>
      <c r="H103" s="35"/>
      <c r="I103" s="17"/>
      <c r="J103" s="35"/>
      <c r="K103" s="17"/>
      <c r="L103" s="35"/>
      <c r="M103" s="17"/>
      <c r="N103" s="19"/>
      <c r="O103" s="18"/>
      <c r="P103" s="18"/>
      <c r="Q103" s="23"/>
      <c r="R103" s="29"/>
      <c r="S103" s="17"/>
      <c r="T103" s="52"/>
      <c r="U103" s="22"/>
      <c r="V103" s="22"/>
      <c r="W103" s="39"/>
      <c r="X103" s="52"/>
    </row>
    <row r="104" spans="1:24" ht="14.25" customHeight="1">
      <c r="A104" s="97"/>
      <c r="B104" s="73"/>
      <c r="C104" s="20"/>
      <c r="D104" s="20"/>
      <c r="E104" s="38"/>
      <c r="F104" s="126"/>
      <c r="G104" s="22"/>
      <c r="H104" s="35"/>
      <c r="I104" s="18"/>
      <c r="J104" s="35"/>
      <c r="K104" s="18"/>
      <c r="L104" s="35"/>
      <c r="M104" s="18"/>
      <c r="N104" s="19"/>
      <c r="O104" s="18"/>
      <c r="P104" s="18"/>
      <c r="Q104" s="110"/>
      <c r="R104" s="29"/>
      <c r="S104" s="22"/>
      <c r="T104" s="52"/>
      <c r="U104" s="22"/>
      <c r="V104" s="22"/>
      <c r="W104" s="39"/>
      <c r="X104" s="52"/>
    </row>
    <row r="105" spans="1:23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1:23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1:19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</sheetData>
  <sheetProtection/>
  <printOptions/>
  <pageMargins left="0.2755905511811024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03"/>
  <sheetViews>
    <sheetView zoomScale="140" zoomScaleNormal="140" zoomScalePageLayoutView="0" workbookViewId="0" topLeftCell="A1">
      <selection activeCell="Y10" sqref="Y10"/>
    </sheetView>
  </sheetViews>
  <sheetFormatPr defaultColWidth="9.140625" defaultRowHeight="12.75"/>
  <cols>
    <col min="1" max="2" width="7.7109375" style="0" customWidth="1"/>
    <col min="3" max="3" width="4.7109375" style="0" customWidth="1"/>
    <col min="4" max="4" width="19.7109375" style="0" customWidth="1"/>
    <col min="5" max="5" width="13.7109375" style="0" customWidth="1"/>
    <col min="6" max="6" width="0.85546875" style="0" customWidth="1"/>
    <col min="7" max="7" width="7.7109375" style="0" customWidth="1"/>
    <col min="8" max="8" width="0.85546875" style="0" customWidth="1"/>
    <col min="9" max="9" width="7.7109375" style="0" customWidth="1"/>
    <col min="10" max="10" width="0.85546875" style="0" customWidth="1"/>
    <col min="11" max="11" width="7.7109375" style="0" customWidth="1"/>
    <col min="12" max="12" width="0.85546875" style="0" customWidth="1"/>
    <col min="13" max="13" width="7.7109375" style="0" customWidth="1"/>
    <col min="14" max="14" width="0.85546875" style="0" customWidth="1"/>
    <col min="15" max="15" width="2.57421875" style="0" customWidth="1"/>
    <col min="16" max="16" width="0.85546875" style="0" customWidth="1"/>
    <col min="17" max="17" width="5.421875" style="0" customWidth="1"/>
    <col min="18" max="18" width="0.85546875" style="0" customWidth="1"/>
    <col min="19" max="19" width="7.7109375" style="0" customWidth="1"/>
    <col min="20" max="20" width="0.85546875" style="0" customWidth="1"/>
    <col min="21" max="21" width="2.57421875" style="0" customWidth="1"/>
    <col min="22" max="22" width="0.85546875" style="0" customWidth="1"/>
    <col min="23" max="23" width="5.421875" style="0" customWidth="1"/>
    <col min="24" max="24" width="0.85546875" style="0" customWidth="1"/>
    <col min="26" max="26" width="0.85546875" style="0" customWidth="1"/>
  </cols>
  <sheetData>
    <row r="1" ht="12.75">
      <c r="H1" s="7"/>
    </row>
    <row r="2" spans="1:2" ht="15.75">
      <c r="A2" s="1" t="s">
        <v>30</v>
      </c>
      <c r="B2" s="1"/>
    </row>
    <row r="3" spans="1:2" ht="15.75">
      <c r="A3" s="1" t="s">
        <v>31</v>
      </c>
      <c r="B3" s="1"/>
    </row>
    <row r="4" spans="1:2" ht="15.75">
      <c r="A4" s="1" t="s">
        <v>120</v>
      </c>
      <c r="B4" s="1"/>
    </row>
    <row r="5" spans="1:2" ht="15.75">
      <c r="A5" s="1"/>
      <c r="B5" s="1"/>
    </row>
    <row r="6" spans="1:18" ht="13.5" customHeight="1">
      <c r="A6" s="97"/>
      <c r="B6" s="81"/>
      <c r="C6" s="20"/>
      <c r="D6" s="20"/>
      <c r="E6" s="148" t="s">
        <v>72</v>
      </c>
      <c r="G6" s="147">
        <v>2355</v>
      </c>
      <c r="I6" s="149" t="s">
        <v>78</v>
      </c>
      <c r="J6" s="35"/>
      <c r="K6" s="18"/>
      <c r="L6" s="18"/>
      <c r="M6" s="18"/>
      <c r="N6" s="19"/>
      <c r="O6" s="18"/>
      <c r="P6" s="18"/>
      <c r="Q6" s="18"/>
      <c r="R6" s="29"/>
    </row>
    <row r="7" spans="1:9" ht="15.75">
      <c r="A7" s="6" t="s">
        <v>59</v>
      </c>
      <c r="B7" s="6"/>
      <c r="E7" s="151" t="s">
        <v>0</v>
      </c>
      <c r="G7" s="151">
        <v>2355</v>
      </c>
      <c r="H7" s="41"/>
      <c r="I7" s="150" t="s">
        <v>78</v>
      </c>
    </row>
    <row r="8" spans="1:24" ht="12.75">
      <c r="A8" s="41" t="s">
        <v>29</v>
      </c>
      <c r="B8" s="41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5:24" ht="12.75">
      <c r="E9" s="16"/>
      <c r="F9" s="16"/>
      <c r="G9" s="13" t="s">
        <v>27</v>
      </c>
      <c r="H9" s="42"/>
      <c r="I9" s="13" t="s">
        <v>14</v>
      </c>
      <c r="J9" s="13"/>
      <c r="K9" s="13" t="s">
        <v>17</v>
      </c>
      <c r="L9" s="42"/>
      <c r="M9" s="13" t="s">
        <v>18</v>
      </c>
      <c r="N9" s="13"/>
      <c r="O9" s="13"/>
      <c r="P9" s="13"/>
      <c r="Q9" s="13" t="s">
        <v>15</v>
      </c>
      <c r="R9" s="13"/>
      <c r="S9" s="42"/>
      <c r="T9" s="42"/>
      <c r="U9" s="42"/>
      <c r="V9" s="42"/>
      <c r="W9" s="43"/>
      <c r="X9" s="16"/>
    </row>
    <row r="10" spans="1:24" ht="14.25" customHeight="1">
      <c r="A10" s="13" t="s">
        <v>1</v>
      </c>
      <c r="C10" s="62" t="s">
        <v>21</v>
      </c>
      <c r="D10" s="11" t="s">
        <v>9</v>
      </c>
      <c r="E10" s="60" t="s">
        <v>20</v>
      </c>
      <c r="F10" s="16"/>
      <c r="G10" s="21" t="s">
        <v>22</v>
      </c>
      <c r="H10" s="45"/>
      <c r="I10" s="21" t="s">
        <v>23</v>
      </c>
      <c r="J10" s="12"/>
      <c r="K10" s="21" t="s">
        <v>23</v>
      </c>
      <c r="L10" s="45"/>
      <c r="M10" s="21" t="s">
        <v>24</v>
      </c>
      <c r="N10" s="12"/>
      <c r="O10" s="12"/>
      <c r="P10" s="12"/>
      <c r="Q10" s="21" t="s">
        <v>22</v>
      </c>
      <c r="R10" s="12"/>
      <c r="S10" s="44"/>
      <c r="T10" s="45"/>
      <c r="U10" s="45"/>
      <c r="V10" s="45"/>
      <c r="W10" s="44"/>
      <c r="X10" s="16"/>
    </row>
    <row r="11" spans="1:24" ht="12.75">
      <c r="A11" s="13" t="s">
        <v>2</v>
      </c>
      <c r="B11" s="58" t="s">
        <v>37</v>
      </c>
      <c r="E11" s="10"/>
      <c r="F11" s="46"/>
      <c r="G11" s="14" t="s">
        <v>11</v>
      </c>
      <c r="H11" s="48"/>
      <c r="I11" s="14"/>
      <c r="J11" s="7"/>
      <c r="K11" s="14" t="s">
        <v>11</v>
      </c>
      <c r="L11" s="48"/>
      <c r="M11" s="14"/>
      <c r="N11" s="7"/>
      <c r="O11" s="7"/>
      <c r="P11" s="7"/>
      <c r="Q11" s="14"/>
      <c r="R11" s="7"/>
      <c r="S11" s="47"/>
      <c r="T11" s="48"/>
      <c r="U11" s="48"/>
      <c r="V11" s="48"/>
      <c r="W11" s="47"/>
      <c r="X11" s="16"/>
    </row>
    <row r="12" spans="2:24" ht="14.25" customHeight="1">
      <c r="B12" s="58" t="s">
        <v>2</v>
      </c>
      <c r="C12" s="11" t="s">
        <v>10</v>
      </c>
      <c r="E12" s="61" t="s">
        <v>19</v>
      </c>
      <c r="F12" s="48"/>
      <c r="G12" s="14" t="s">
        <v>12</v>
      </c>
      <c r="H12" s="48"/>
      <c r="I12" s="14" t="s">
        <v>12</v>
      </c>
      <c r="J12" s="7"/>
      <c r="K12" s="14" t="s">
        <v>12</v>
      </c>
      <c r="L12" s="48"/>
      <c r="M12" s="14" t="s">
        <v>12</v>
      </c>
      <c r="N12" s="7"/>
      <c r="O12" s="7"/>
      <c r="P12" s="7"/>
      <c r="Q12" s="14" t="s">
        <v>12</v>
      </c>
      <c r="R12" s="7"/>
      <c r="S12" s="47"/>
      <c r="T12" s="48"/>
      <c r="U12" s="48"/>
      <c r="V12" s="48"/>
      <c r="W12" s="47"/>
      <c r="X12" s="16"/>
    </row>
    <row r="13" spans="1:24" ht="12.75">
      <c r="A13" s="8"/>
      <c r="B13" s="8"/>
      <c r="C13" s="8"/>
      <c r="D13" s="8"/>
      <c r="E13" s="8"/>
      <c r="F13" s="49"/>
      <c r="G13" s="15" t="s">
        <v>13</v>
      </c>
      <c r="H13" s="50"/>
      <c r="I13" s="15" t="s">
        <v>13</v>
      </c>
      <c r="J13" s="9"/>
      <c r="K13" s="15" t="s">
        <v>13</v>
      </c>
      <c r="L13" s="50"/>
      <c r="M13" s="15" t="s">
        <v>13</v>
      </c>
      <c r="N13" s="9"/>
      <c r="O13" s="9"/>
      <c r="P13" s="9"/>
      <c r="Q13" s="15" t="s">
        <v>13</v>
      </c>
      <c r="R13" s="9"/>
      <c r="S13" s="22"/>
      <c r="T13" s="55"/>
      <c r="U13" s="55"/>
      <c r="V13" s="55"/>
      <c r="W13" s="22"/>
      <c r="X13" s="16"/>
    </row>
    <row r="14" spans="1:24" ht="14.25" customHeight="1">
      <c r="A14" s="31"/>
      <c r="B14" s="73"/>
      <c r="C14" s="181">
        <v>805</v>
      </c>
      <c r="D14" s="130" t="s">
        <v>252</v>
      </c>
      <c r="E14" s="143" t="s">
        <v>301</v>
      </c>
      <c r="F14" s="51">
        <v>1</v>
      </c>
      <c r="G14" s="82">
        <v>17.6</v>
      </c>
      <c r="H14" s="34">
        <f>G16</f>
        <v>505</v>
      </c>
      <c r="I14" s="83">
        <v>7.4</v>
      </c>
      <c r="J14" s="34">
        <f>G17+I16</f>
        <v>866</v>
      </c>
      <c r="K14" s="83">
        <v>3.89</v>
      </c>
      <c r="L14" s="34">
        <f>I17+K16</f>
        <v>1149</v>
      </c>
      <c r="M14" s="83">
        <v>1.49</v>
      </c>
      <c r="N14" s="27">
        <f>K17+M16</f>
        <v>1759</v>
      </c>
      <c r="O14" s="84"/>
      <c r="P14" s="7" t="s">
        <v>25</v>
      </c>
      <c r="Q14" s="184" t="s">
        <v>468</v>
      </c>
      <c r="R14" s="28">
        <f>M17+Q16</f>
        <v>1759</v>
      </c>
      <c r="T14" s="52"/>
      <c r="U14" s="22"/>
      <c r="V14" s="55"/>
      <c r="W14" s="57"/>
      <c r="X14" s="52"/>
    </row>
    <row r="15" spans="1:24" ht="12.75" customHeight="1">
      <c r="A15" s="32">
        <v>1</v>
      </c>
      <c r="B15" s="74"/>
      <c r="E15" s="10"/>
      <c r="F15" s="46">
        <v>2</v>
      </c>
      <c r="G15" s="85"/>
      <c r="H15" s="35">
        <f>G16</f>
        <v>505</v>
      </c>
      <c r="I15" s="14"/>
      <c r="J15" s="35">
        <f>G17+I16</f>
        <v>866</v>
      </c>
      <c r="K15" s="85"/>
      <c r="L15" s="35">
        <f>I17+K16</f>
        <v>1149</v>
      </c>
      <c r="M15" s="14"/>
      <c r="N15" s="19">
        <f>K17+M16</f>
        <v>1759</v>
      </c>
      <c r="O15" s="14"/>
      <c r="P15" s="14"/>
      <c r="Q15" s="14"/>
      <c r="R15" s="29">
        <f>M17+Q16</f>
        <v>1759</v>
      </c>
      <c r="T15" s="52"/>
      <c r="U15" s="22"/>
      <c r="V15" s="22"/>
      <c r="W15" s="22"/>
      <c r="X15" s="52"/>
    </row>
    <row r="16" spans="1:24" ht="14.25" customHeight="1">
      <c r="A16" s="152"/>
      <c r="B16" s="92">
        <v>1</v>
      </c>
      <c r="C16" s="11" t="s">
        <v>178</v>
      </c>
      <c r="D16" s="11"/>
      <c r="E16" s="25">
        <f>R17</f>
        <v>1759</v>
      </c>
      <c r="F16" s="53">
        <v>3</v>
      </c>
      <c r="G16" s="39">
        <f>IF(G14=0,0,TRUNC(9.23076*((26.46-G14)^1.835)))</f>
        <v>505</v>
      </c>
      <c r="H16" s="35">
        <f>G16</f>
        <v>505</v>
      </c>
      <c r="I16" s="17">
        <f>ROUNDDOWN(56.0211*(I14-1.5)^1.05,0)</f>
        <v>361</v>
      </c>
      <c r="J16" s="35">
        <f>G17+I16</f>
        <v>866</v>
      </c>
      <c r="K16" s="17">
        <f>ROUNDDOWN(0.188807*(100*K14-210)^1.41,0)</f>
        <v>283</v>
      </c>
      <c r="L16" s="35">
        <f>I17+K16</f>
        <v>1149</v>
      </c>
      <c r="M16" s="17">
        <f>ROUNDDOWN(1.84523*(100*M14-75)^1.348,0)</f>
        <v>610</v>
      </c>
      <c r="N16" s="19">
        <f>K17+M16</f>
        <v>1759</v>
      </c>
      <c r="O16" s="14"/>
      <c r="P16" s="14"/>
      <c r="Q16" s="23">
        <v>0</v>
      </c>
      <c r="R16" s="29">
        <f>M17+Q16</f>
        <v>1759</v>
      </c>
      <c r="T16" s="52"/>
      <c r="U16" s="22"/>
      <c r="V16" s="22"/>
      <c r="W16" s="39"/>
      <c r="X16" s="52"/>
    </row>
    <row r="17" spans="1:24" ht="14.25" customHeight="1">
      <c r="A17" s="33"/>
      <c r="B17" s="153"/>
      <c r="C17" s="8"/>
      <c r="D17" s="8"/>
      <c r="E17" s="8"/>
      <c r="F17" s="54">
        <v>4</v>
      </c>
      <c r="G17" s="24">
        <f>G16</f>
        <v>505</v>
      </c>
      <c r="H17" s="36">
        <f>G16</f>
        <v>505</v>
      </c>
      <c r="I17" s="15">
        <f>G17+I16</f>
        <v>866</v>
      </c>
      <c r="J17" s="35">
        <f>G17+I16</f>
        <v>866</v>
      </c>
      <c r="K17" s="24">
        <f>I17+K16</f>
        <v>1149</v>
      </c>
      <c r="L17" s="35">
        <f>I17+K16</f>
        <v>1149</v>
      </c>
      <c r="M17" s="15">
        <f>K17+M16</f>
        <v>1759</v>
      </c>
      <c r="N17" s="19">
        <f>K17+M16</f>
        <v>1759</v>
      </c>
      <c r="O17" s="15"/>
      <c r="P17" s="15"/>
      <c r="Q17" s="24">
        <f>M17+Q16</f>
        <v>1759</v>
      </c>
      <c r="R17" s="29">
        <f>M17+Q16</f>
        <v>1759</v>
      </c>
      <c r="T17" s="52"/>
      <c r="U17" s="22"/>
      <c r="V17" s="22"/>
      <c r="W17" s="39"/>
      <c r="X17" s="52"/>
    </row>
    <row r="18" spans="1:24" ht="14.25" customHeight="1">
      <c r="A18" s="31"/>
      <c r="B18" s="73"/>
      <c r="C18" s="89"/>
      <c r="D18" s="11"/>
      <c r="E18" s="72"/>
      <c r="F18" s="51"/>
      <c r="G18" s="82"/>
      <c r="H18" s="34"/>
      <c r="I18" s="83"/>
      <c r="J18" s="34"/>
      <c r="K18" s="83"/>
      <c r="L18" s="34"/>
      <c r="M18" s="83"/>
      <c r="N18" s="27"/>
      <c r="O18" s="84"/>
      <c r="P18" s="7"/>
      <c r="Q18" s="86"/>
      <c r="R18" s="28"/>
      <c r="S18" s="56"/>
      <c r="T18" s="52"/>
      <c r="U18" s="22"/>
      <c r="V18" s="55"/>
      <c r="W18" s="57"/>
      <c r="X18" s="52"/>
    </row>
    <row r="19" spans="1:24" ht="12.75" customHeight="1">
      <c r="A19" s="32"/>
      <c r="B19" s="74"/>
      <c r="E19" s="10"/>
      <c r="F19" s="46"/>
      <c r="G19" s="85"/>
      <c r="H19" s="35"/>
      <c r="I19" s="14"/>
      <c r="J19" s="35"/>
      <c r="K19" s="85"/>
      <c r="L19" s="35"/>
      <c r="M19" s="14"/>
      <c r="N19" s="19"/>
      <c r="O19" s="14"/>
      <c r="P19" s="14"/>
      <c r="Q19" s="14"/>
      <c r="R19" s="29"/>
      <c r="S19" s="22"/>
      <c r="T19" s="52"/>
      <c r="U19" s="22"/>
      <c r="V19" s="22"/>
      <c r="W19" s="22"/>
      <c r="X19" s="52"/>
    </row>
    <row r="20" spans="1:25" ht="14.25" customHeight="1">
      <c r="A20" s="32"/>
      <c r="B20" s="77"/>
      <c r="C20" s="11"/>
      <c r="D20" s="11"/>
      <c r="E20" s="25"/>
      <c r="F20" s="53"/>
      <c r="G20" s="39"/>
      <c r="H20" s="35"/>
      <c r="I20" s="17"/>
      <c r="J20" s="35"/>
      <c r="K20" s="17"/>
      <c r="L20" s="35"/>
      <c r="M20" s="17"/>
      <c r="N20" s="19"/>
      <c r="O20" s="14"/>
      <c r="P20" s="14"/>
      <c r="Q20" s="23"/>
      <c r="R20" s="29"/>
      <c r="S20" s="17"/>
      <c r="T20" s="52"/>
      <c r="U20" s="22"/>
      <c r="V20" s="22"/>
      <c r="W20" s="39"/>
      <c r="X20" s="52"/>
      <c r="Y20" s="2"/>
    </row>
    <row r="21" spans="1:24" ht="14.25" customHeight="1">
      <c r="A21" s="97"/>
      <c r="B21" s="73"/>
      <c r="C21" s="20"/>
      <c r="D21" s="20"/>
      <c r="E21" s="20"/>
      <c r="F21" s="126"/>
      <c r="G21" s="110"/>
      <c r="H21" s="35"/>
      <c r="I21" s="18"/>
      <c r="J21" s="35"/>
      <c r="K21" s="110"/>
      <c r="L21" s="35"/>
      <c r="M21" s="18"/>
      <c r="N21" s="19"/>
      <c r="O21" s="18"/>
      <c r="P21" s="18"/>
      <c r="Q21" s="110"/>
      <c r="R21" s="29"/>
      <c r="S21" s="22"/>
      <c r="T21" s="52"/>
      <c r="U21" s="22"/>
      <c r="V21" s="22"/>
      <c r="W21" s="39"/>
      <c r="X21" s="52"/>
    </row>
    <row r="22" spans="1:24" ht="14.25" customHeight="1">
      <c r="A22" s="97"/>
      <c r="B22" s="73"/>
      <c r="C22" s="98"/>
      <c r="D22" s="95"/>
      <c r="E22" s="99"/>
      <c r="F22" s="127"/>
      <c r="G22" s="102"/>
      <c r="H22" s="35"/>
      <c r="I22" s="101"/>
      <c r="J22" s="35"/>
      <c r="K22" s="101"/>
      <c r="L22" s="35"/>
      <c r="M22" s="101"/>
      <c r="N22" s="19"/>
      <c r="O22" s="122"/>
      <c r="P22" s="19"/>
      <c r="Q22" s="104"/>
      <c r="R22" s="29"/>
      <c r="S22" s="56"/>
      <c r="T22" s="52"/>
      <c r="U22" s="22"/>
      <c r="V22" s="55"/>
      <c r="W22" s="57"/>
      <c r="X22" s="52"/>
    </row>
    <row r="23" spans="1:24" ht="12.75" customHeight="1">
      <c r="A23" s="32"/>
      <c r="B23" s="74"/>
      <c r="E23" s="10"/>
      <c r="F23" s="46"/>
      <c r="G23" s="85"/>
      <c r="H23" s="35"/>
      <c r="I23" s="14"/>
      <c r="J23" s="35"/>
      <c r="K23" s="85"/>
      <c r="L23" s="35"/>
      <c r="M23" s="14"/>
      <c r="N23" s="19"/>
      <c r="O23" s="14"/>
      <c r="P23" s="14"/>
      <c r="Q23" s="14"/>
      <c r="R23" s="29"/>
      <c r="S23" s="22"/>
      <c r="T23" s="52"/>
      <c r="U23" s="22"/>
      <c r="V23" s="22"/>
      <c r="W23" s="22"/>
      <c r="X23" s="52"/>
    </row>
    <row r="24" spans="1:24" ht="14.25" customHeight="1">
      <c r="A24" s="97"/>
      <c r="B24" s="112"/>
      <c r="C24" s="95"/>
      <c r="D24" s="95"/>
      <c r="E24" s="108"/>
      <c r="F24" s="128"/>
      <c r="G24" s="39"/>
      <c r="H24" s="35"/>
      <c r="I24" s="17"/>
      <c r="J24" s="35"/>
      <c r="K24" s="17"/>
      <c r="L24" s="35"/>
      <c r="M24" s="17"/>
      <c r="N24" s="19"/>
      <c r="O24" s="18"/>
      <c r="P24" s="18"/>
      <c r="Q24" s="23"/>
      <c r="R24" s="29"/>
      <c r="S24" s="17"/>
      <c r="T24" s="52"/>
      <c r="U24" s="22"/>
      <c r="V24" s="22"/>
      <c r="W24" s="39"/>
      <c r="X24" s="52"/>
    </row>
    <row r="25" spans="1:24" ht="14.25" customHeight="1">
      <c r="A25" s="97"/>
      <c r="B25" s="73"/>
      <c r="C25" s="20"/>
      <c r="D25" s="20"/>
      <c r="E25" s="20"/>
      <c r="F25" s="126"/>
      <c r="G25" s="110"/>
      <c r="H25" s="35"/>
      <c r="I25" s="18"/>
      <c r="J25" s="35"/>
      <c r="K25" s="110"/>
      <c r="L25" s="35"/>
      <c r="M25" s="18"/>
      <c r="N25" s="19"/>
      <c r="O25" s="18"/>
      <c r="P25" s="18"/>
      <c r="Q25" s="110"/>
      <c r="R25" s="29"/>
      <c r="S25" s="22"/>
      <c r="T25" s="52"/>
      <c r="U25" s="22"/>
      <c r="V25" s="22"/>
      <c r="W25" s="39"/>
      <c r="X25" s="52"/>
    </row>
    <row r="26" spans="1:24" ht="14.25" customHeight="1">
      <c r="A26" s="97"/>
      <c r="B26" s="73"/>
      <c r="C26" s="98"/>
      <c r="D26" s="95"/>
      <c r="E26" s="99"/>
      <c r="F26" s="127"/>
      <c r="G26" s="102"/>
      <c r="H26" s="35"/>
      <c r="I26" s="101"/>
      <c r="J26" s="35"/>
      <c r="K26" s="101"/>
      <c r="L26" s="35"/>
      <c r="M26" s="101"/>
      <c r="N26" s="19"/>
      <c r="O26" s="122"/>
      <c r="P26" s="19"/>
      <c r="Q26" s="104"/>
      <c r="R26" s="29"/>
      <c r="S26" s="56"/>
      <c r="T26" s="52"/>
      <c r="U26" s="22"/>
      <c r="V26" s="55"/>
      <c r="W26" s="57"/>
      <c r="X26" s="52"/>
    </row>
    <row r="27" spans="1:24" ht="12.75" customHeight="1">
      <c r="A27" s="97"/>
      <c r="B27" s="73"/>
      <c r="C27" s="20"/>
      <c r="D27" s="20"/>
      <c r="E27" s="105"/>
      <c r="F27" s="126"/>
      <c r="G27" s="106"/>
      <c r="H27" s="35"/>
      <c r="I27" s="18"/>
      <c r="J27" s="35"/>
      <c r="K27" s="106"/>
      <c r="L27" s="35"/>
      <c r="M27" s="18"/>
      <c r="N27" s="19"/>
      <c r="O27" s="18"/>
      <c r="P27" s="18"/>
      <c r="Q27" s="18"/>
      <c r="R27" s="29"/>
      <c r="S27" s="22"/>
      <c r="T27" s="52"/>
      <c r="U27" s="22"/>
      <c r="V27" s="22"/>
      <c r="W27" s="22"/>
      <c r="X27" s="52"/>
    </row>
    <row r="28" spans="1:24" ht="14.25" customHeight="1">
      <c r="A28" s="97"/>
      <c r="B28" s="81"/>
      <c r="C28" s="95"/>
      <c r="D28" s="95"/>
      <c r="E28" s="108"/>
      <c r="F28" s="128"/>
      <c r="G28" s="39"/>
      <c r="H28" s="35"/>
      <c r="I28" s="17"/>
      <c r="J28" s="35"/>
      <c r="K28" s="17"/>
      <c r="L28" s="35"/>
      <c r="M28" s="17"/>
      <c r="N28" s="19"/>
      <c r="O28" s="18"/>
      <c r="P28" s="18"/>
      <c r="Q28" s="23"/>
      <c r="R28" s="29"/>
      <c r="S28" s="17"/>
      <c r="T28" s="52"/>
      <c r="U28" s="22"/>
      <c r="V28" s="22"/>
      <c r="W28" s="39"/>
      <c r="X28" s="52"/>
    </row>
    <row r="29" spans="1:24" ht="14.25" customHeight="1">
      <c r="A29" s="97"/>
      <c r="B29" s="73"/>
      <c r="C29" s="20"/>
      <c r="D29" s="20"/>
      <c r="E29" s="20"/>
      <c r="F29" s="126"/>
      <c r="G29" s="110"/>
      <c r="H29" s="35"/>
      <c r="I29" s="18"/>
      <c r="J29" s="35"/>
      <c r="K29" s="110"/>
      <c r="L29" s="35"/>
      <c r="M29" s="18"/>
      <c r="N29" s="19"/>
      <c r="O29" s="18"/>
      <c r="P29" s="18"/>
      <c r="Q29" s="110"/>
      <c r="R29" s="29"/>
      <c r="S29" s="22"/>
      <c r="T29" s="52"/>
      <c r="U29" s="22"/>
      <c r="V29" s="22"/>
      <c r="W29" s="39"/>
      <c r="X29" s="52"/>
    </row>
    <row r="30" spans="1:24" ht="14.25" customHeight="1">
      <c r="A30" s="97"/>
      <c r="B30" s="73"/>
      <c r="C30" s="98"/>
      <c r="D30" s="95"/>
      <c r="E30" s="99"/>
      <c r="F30" s="127"/>
      <c r="G30" s="102"/>
      <c r="H30" s="35"/>
      <c r="I30" s="101"/>
      <c r="J30" s="35"/>
      <c r="K30" s="101"/>
      <c r="L30" s="35"/>
      <c r="M30" s="101"/>
      <c r="N30" s="19"/>
      <c r="O30" s="122"/>
      <c r="P30" s="19"/>
      <c r="Q30" s="104"/>
      <c r="R30" s="29"/>
      <c r="S30" s="56"/>
      <c r="T30" s="52"/>
      <c r="U30" s="22"/>
      <c r="V30" s="55"/>
      <c r="W30" s="57"/>
      <c r="X30" s="52"/>
    </row>
    <row r="31" spans="1:24" ht="12.75" customHeight="1">
      <c r="A31" s="97"/>
      <c r="B31" s="73"/>
      <c r="C31" s="20"/>
      <c r="D31" s="20"/>
      <c r="E31" s="105"/>
      <c r="F31" s="126"/>
      <c r="G31" s="106"/>
      <c r="H31" s="35"/>
      <c r="I31" s="18"/>
      <c r="J31" s="35"/>
      <c r="K31" s="106"/>
      <c r="L31" s="35"/>
      <c r="M31" s="18"/>
      <c r="N31" s="19"/>
      <c r="O31" s="18"/>
      <c r="P31" s="18"/>
      <c r="Q31" s="18"/>
      <c r="R31" s="29"/>
      <c r="S31" s="22"/>
      <c r="T31" s="52"/>
      <c r="U31" s="22"/>
      <c r="V31" s="22"/>
      <c r="W31" s="22"/>
      <c r="X31" s="52"/>
    </row>
    <row r="32" spans="1:24" ht="14.25" customHeight="1">
      <c r="A32" s="97"/>
      <c r="B32" s="81"/>
      <c r="C32" s="95"/>
      <c r="D32" s="95"/>
      <c r="E32" s="108"/>
      <c r="F32" s="128"/>
      <c r="G32" s="39"/>
      <c r="H32" s="35"/>
      <c r="I32" s="17"/>
      <c r="J32" s="35"/>
      <c r="K32" s="17"/>
      <c r="L32" s="35"/>
      <c r="M32" s="17"/>
      <c r="N32" s="19"/>
      <c r="O32" s="18"/>
      <c r="P32" s="18"/>
      <c r="Q32" s="23"/>
      <c r="R32" s="29"/>
      <c r="S32" s="17"/>
      <c r="T32" s="52"/>
      <c r="U32" s="22"/>
      <c r="V32" s="22"/>
      <c r="W32" s="39"/>
      <c r="X32" s="52"/>
    </row>
    <row r="33" spans="1:24" ht="14.25" customHeight="1">
      <c r="A33" s="97"/>
      <c r="B33" s="73"/>
      <c r="C33" s="20"/>
      <c r="D33" s="20"/>
      <c r="E33" s="20"/>
      <c r="F33" s="126"/>
      <c r="G33" s="110"/>
      <c r="H33" s="35"/>
      <c r="I33" s="18"/>
      <c r="J33" s="35"/>
      <c r="K33" s="110"/>
      <c r="L33" s="35"/>
      <c r="M33" s="18"/>
      <c r="N33" s="19"/>
      <c r="O33" s="18"/>
      <c r="P33" s="18"/>
      <c r="Q33" s="110"/>
      <c r="R33" s="29"/>
      <c r="S33" s="22"/>
      <c r="T33" s="52"/>
      <c r="U33" s="22"/>
      <c r="V33" s="22"/>
      <c r="W33" s="39"/>
      <c r="X33" s="52"/>
    </row>
    <row r="34" spans="1:24" ht="14.25" customHeight="1">
      <c r="A34" s="97"/>
      <c r="B34" s="73"/>
      <c r="C34" s="98"/>
      <c r="D34" s="95"/>
      <c r="E34" s="99"/>
      <c r="F34" s="127"/>
      <c r="G34" s="102"/>
      <c r="H34" s="35"/>
      <c r="I34" s="101"/>
      <c r="J34" s="35"/>
      <c r="K34" s="101"/>
      <c r="L34" s="35"/>
      <c r="M34" s="101"/>
      <c r="N34" s="19"/>
      <c r="O34" s="122"/>
      <c r="P34" s="19"/>
      <c r="Q34" s="104"/>
      <c r="R34" s="29"/>
      <c r="S34" s="56"/>
      <c r="T34" s="52"/>
      <c r="U34" s="22"/>
      <c r="V34" s="55"/>
      <c r="W34" s="57"/>
      <c r="X34" s="52"/>
    </row>
    <row r="35" spans="1:24" ht="12.75" customHeight="1">
      <c r="A35" s="97"/>
      <c r="B35" s="73"/>
      <c r="C35" s="20"/>
      <c r="D35" s="20"/>
      <c r="E35" s="105"/>
      <c r="F35" s="126"/>
      <c r="G35" s="106"/>
      <c r="H35" s="35"/>
      <c r="I35" s="18"/>
      <c r="J35" s="35"/>
      <c r="K35" s="106"/>
      <c r="L35" s="35"/>
      <c r="M35" s="18"/>
      <c r="N35" s="19"/>
      <c r="O35" s="18"/>
      <c r="P35" s="18"/>
      <c r="Q35" s="18"/>
      <c r="R35" s="29"/>
      <c r="S35" s="22"/>
      <c r="T35" s="52"/>
      <c r="U35" s="22"/>
      <c r="V35" s="22"/>
      <c r="W35" s="22"/>
      <c r="X35" s="52"/>
    </row>
    <row r="36" spans="1:24" ht="14.25" customHeight="1">
      <c r="A36" s="97"/>
      <c r="B36" s="81"/>
      <c r="C36" s="95"/>
      <c r="D36" s="95"/>
      <c r="E36" s="108"/>
      <c r="F36" s="128"/>
      <c r="G36" s="39"/>
      <c r="H36" s="35"/>
      <c r="I36" s="17"/>
      <c r="J36" s="35"/>
      <c r="K36" s="17"/>
      <c r="L36" s="35"/>
      <c r="M36" s="17"/>
      <c r="N36" s="19"/>
      <c r="O36" s="18"/>
      <c r="P36" s="18"/>
      <c r="Q36" s="23"/>
      <c r="R36" s="29"/>
      <c r="S36" s="17"/>
      <c r="T36" s="52"/>
      <c r="U36" s="22"/>
      <c r="V36" s="22"/>
      <c r="W36" s="39"/>
      <c r="X36" s="52"/>
    </row>
    <row r="37" spans="1:24" ht="14.25" customHeight="1">
      <c r="A37" s="97"/>
      <c r="B37" s="81"/>
      <c r="C37" s="20"/>
      <c r="D37" s="20"/>
      <c r="E37" s="20"/>
      <c r="F37" s="126"/>
      <c r="G37" s="110"/>
      <c r="H37" s="35"/>
      <c r="I37" s="18"/>
      <c r="J37" s="35"/>
      <c r="K37" s="110"/>
      <c r="L37" s="35"/>
      <c r="M37" s="18"/>
      <c r="N37" s="19"/>
      <c r="O37" s="18"/>
      <c r="P37" s="18"/>
      <c r="Q37" s="110"/>
      <c r="R37" s="29"/>
      <c r="S37" s="22"/>
      <c r="T37" s="52"/>
      <c r="U37" s="22"/>
      <c r="V37" s="22"/>
      <c r="W37" s="39"/>
      <c r="X37" s="52"/>
    </row>
    <row r="38" spans="1:24" ht="14.25" customHeight="1">
      <c r="A38" s="97"/>
      <c r="B38" s="81"/>
      <c r="C38" s="98"/>
      <c r="D38" s="95"/>
      <c r="E38" s="99"/>
      <c r="F38" s="127"/>
      <c r="G38" s="102"/>
      <c r="H38" s="35"/>
      <c r="I38" s="101"/>
      <c r="J38" s="35"/>
      <c r="K38" s="101"/>
      <c r="L38" s="35"/>
      <c r="M38" s="101"/>
      <c r="N38" s="19"/>
      <c r="O38" s="122"/>
      <c r="P38" s="19"/>
      <c r="Q38" s="104"/>
      <c r="R38" s="29"/>
      <c r="S38" s="56"/>
      <c r="T38" s="52"/>
      <c r="U38" s="22"/>
      <c r="V38" s="55"/>
      <c r="W38" s="57"/>
      <c r="X38" s="52"/>
    </row>
    <row r="39" spans="1:24" ht="12.75" customHeight="1">
      <c r="A39" s="97"/>
      <c r="B39" s="81"/>
      <c r="C39" s="20"/>
      <c r="D39" s="20"/>
      <c r="E39" s="105"/>
      <c r="F39" s="126"/>
      <c r="G39" s="106"/>
      <c r="H39" s="35"/>
      <c r="I39" s="18"/>
      <c r="J39" s="35"/>
      <c r="K39" s="106"/>
      <c r="L39" s="35"/>
      <c r="M39" s="18"/>
      <c r="N39" s="19"/>
      <c r="O39" s="18"/>
      <c r="P39" s="18"/>
      <c r="Q39" s="18"/>
      <c r="R39" s="29"/>
      <c r="S39" s="22"/>
      <c r="T39" s="52"/>
      <c r="U39" s="22"/>
      <c r="V39" s="22"/>
      <c r="W39" s="22"/>
      <c r="X39" s="52"/>
    </row>
    <row r="40" spans="1:24" ht="14.25" customHeight="1">
      <c r="A40" s="97"/>
      <c r="B40" s="81"/>
      <c r="C40" s="95"/>
      <c r="D40" s="95"/>
      <c r="E40" s="108"/>
      <c r="F40" s="128"/>
      <c r="G40" s="39"/>
      <c r="H40" s="35"/>
      <c r="I40" s="17"/>
      <c r="J40" s="35"/>
      <c r="K40" s="17"/>
      <c r="L40" s="35"/>
      <c r="M40" s="17"/>
      <c r="N40" s="19"/>
      <c r="O40" s="18"/>
      <c r="P40" s="18"/>
      <c r="Q40" s="23"/>
      <c r="R40" s="29"/>
      <c r="S40" s="17"/>
      <c r="T40" s="52"/>
      <c r="U40" s="22"/>
      <c r="V40" s="22"/>
      <c r="W40" s="39"/>
      <c r="X40" s="52"/>
    </row>
    <row r="41" spans="1:24" ht="14.25" customHeight="1">
      <c r="A41" s="97"/>
      <c r="B41" s="73"/>
      <c r="C41" s="20"/>
      <c r="D41" s="20"/>
      <c r="E41" s="38"/>
      <c r="F41" s="126"/>
      <c r="G41" s="110"/>
      <c r="H41" s="35"/>
      <c r="I41" s="18"/>
      <c r="J41" s="35"/>
      <c r="K41" s="110"/>
      <c r="L41" s="35"/>
      <c r="M41" s="18"/>
      <c r="N41" s="19"/>
      <c r="O41" s="18"/>
      <c r="P41" s="18"/>
      <c r="Q41" s="110"/>
      <c r="R41" s="29"/>
      <c r="S41" s="22"/>
      <c r="T41" s="52"/>
      <c r="U41" s="22"/>
      <c r="V41" s="22"/>
      <c r="W41" s="39"/>
      <c r="X41" s="52"/>
    </row>
    <row r="42" spans="1:23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18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61" spans="1:19" ht="12.75">
      <c r="A61" s="20"/>
      <c r="B61" s="20"/>
      <c r="C61" s="20"/>
      <c r="D61" s="20"/>
      <c r="E61" s="20"/>
      <c r="F61" s="20"/>
      <c r="G61" s="20"/>
      <c r="H61" s="19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15.75">
      <c r="A62" s="114"/>
      <c r="B62" s="11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ht="15.75">
      <c r="A63" s="114"/>
      <c r="B63" s="114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ht="15.75">
      <c r="A64" s="114"/>
      <c r="B64" s="11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ht="15.75">
      <c r="A66" s="6"/>
      <c r="B66" s="6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24" ht="12.75">
      <c r="A67" s="115"/>
      <c r="B67" s="115"/>
      <c r="C67" s="20"/>
      <c r="D67" s="20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16"/>
      <c r="U67" s="16"/>
      <c r="V67" s="16"/>
      <c r="W67" s="16"/>
      <c r="X67" s="16"/>
    </row>
    <row r="68" spans="1:24" ht="12.75">
      <c r="A68" s="20"/>
      <c r="B68" s="20"/>
      <c r="C68" s="20"/>
      <c r="D68" s="20"/>
      <c r="E68" s="38"/>
      <c r="F68" s="38"/>
      <c r="G68" s="116"/>
      <c r="H68" s="123"/>
      <c r="I68" s="116"/>
      <c r="J68" s="116"/>
      <c r="K68" s="116"/>
      <c r="L68" s="123"/>
      <c r="M68" s="116"/>
      <c r="N68" s="116"/>
      <c r="O68" s="116"/>
      <c r="P68" s="116"/>
      <c r="Q68" s="116"/>
      <c r="R68" s="116"/>
      <c r="S68" s="123"/>
      <c r="T68" s="42"/>
      <c r="U68" s="42"/>
      <c r="V68" s="42"/>
      <c r="W68" s="43"/>
      <c r="X68" s="16"/>
    </row>
    <row r="69" spans="1:24" ht="14.25" customHeight="1">
      <c r="A69" s="116"/>
      <c r="B69" s="117"/>
      <c r="C69" s="118"/>
      <c r="D69" s="95"/>
      <c r="E69" s="119"/>
      <c r="F69" s="38"/>
      <c r="G69" s="120"/>
      <c r="H69" s="124"/>
      <c r="I69" s="120"/>
      <c r="J69" s="121"/>
      <c r="K69" s="120"/>
      <c r="L69" s="124"/>
      <c r="M69" s="120"/>
      <c r="N69" s="121"/>
      <c r="O69" s="121"/>
      <c r="P69" s="121"/>
      <c r="Q69" s="120"/>
      <c r="R69" s="121"/>
      <c r="S69" s="125"/>
      <c r="T69" s="45"/>
      <c r="U69" s="45"/>
      <c r="V69" s="45"/>
      <c r="W69" s="44"/>
      <c r="X69" s="16"/>
    </row>
    <row r="70" spans="1:24" ht="12.75">
      <c r="A70" s="116"/>
      <c r="B70" s="117"/>
      <c r="C70" s="20"/>
      <c r="D70" s="20"/>
      <c r="E70" s="105"/>
      <c r="F70" s="126"/>
      <c r="G70" s="18"/>
      <c r="H70" s="55"/>
      <c r="I70" s="18"/>
      <c r="J70" s="19"/>
      <c r="K70" s="18"/>
      <c r="L70" s="55"/>
      <c r="M70" s="18"/>
      <c r="N70" s="19"/>
      <c r="O70" s="19"/>
      <c r="P70" s="19"/>
      <c r="Q70" s="18"/>
      <c r="R70" s="19"/>
      <c r="S70" s="22"/>
      <c r="T70" s="48"/>
      <c r="U70" s="48"/>
      <c r="V70" s="48"/>
      <c r="W70" s="47"/>
      <c r="X70" s="16"/>
    </row>
    <row r="71" spans="1:24" ht="14.25" customHeight="1">
      <c r="A71" s="20"/>
      <c r="B71" s="20"/>
      <c r="C71" s="95"/>
      <c r="D71" s="20"/>
      <c r="E71" s="96"/>
      <c r="F71" s="55"/>
      <c r="G71" s="18"/>
      <c r="H71" s="55"/>
      <c r="I71" s="18"/>
      <c r="J71" s="19"/>
      <c r="K71" s="18"/>
      <c r="L71" s="55"/>
      <c r="M71" s="18"/>
      <c r="N71" s="19"/>
      <c r="O71" s="19"/>
      <c r="P71" s="19"/>
      <c r="Q71" s="18"/>
      <c r="R71" s="19"/>
      <c r="S71" s="22"/>
      <c r="T71" s="48"/>
      <c r="U71" s="48"/>
      <c r="V71" s="48"/>
      <c r="W71" s="47"/>
      <c r="X71" s="16"/>
    </row>
    <row r="72" spans="1:24" ht="12.75">
      <c r="A72" s="20"/>
      <c r="B72" s="20"/>
      <c r="C72" s="20"/>
      <c r="D72" s="20"/>
      <c r="E72" s="20"/>
      <c r="F72" s="38"/>
      <c r="G72" s="18"/>
      <c r="H72" s="55"/>
      <c r="I72" s="18"/>
      <c r="J72" s="19"/>
      <c r="K72" s="18"/>
      <c r="L72" s="55"/>
      <c r="M72" s="18"/>
      <c r="N72" s="19"/>
      <c r="O72" s="19"/>
      <c r="P72" s="19"/>
      <c r="Q72" s="18"/>
      <c r="R72" s="19"/>
      <c r="S72" s="22"/>
      <c r="T72" s="55"/>
      <c r="U72" s="55"/>
      <c r="V72" s="55"/>
      <c r="W72" s="22"/>
      <c r="X72" s="16"/>
    </row>
    <row r="73" spans="1:24" ht="14.25" customHeight="1">
      <c r="A73" s="97"/>
      <c r="B73" s="73"/>
      <c r="C73" s="98"/>
      <c r="D73" s="95"/>
      <c r="E73" s="99"/>
      <c r="F73" s="127"/>
      <c r="G73" s="102"/>
      <c r="H73" s="35"/>
      <c r="I73" s="101"/>
      <c r="J73" s="35"/>
      <c r="K73" s="101"/>
      <c r="L73" s="35"/>
      <c r="M73" s="101"/>
      <c r="N73" s="19"/>
      <c r="O73" s="122"/>
      <c r="P73" s="19"/>
      <c r="Q73" s="104"/>
      <c r="R73" s="29"/>
      <c r="S73" s="56"/>
      <c r="T73" s="52"/>
      <c r="U73" s="22"/>
      <c r="V73" s="55"/>
      <c r="W73" s="57"/>
      <c r="X73" s="52"/>
    </row>
    <row r="74" spans="1:24" ht="12.75" customHeight="1">
      <c r="A74" s="97"/>
      <c r="B74" s="73"/>
      <c r="C74" s="20"/>
      <c r="D74" s="20"/>
      <c r="E74" s="105"/>
      <c r="F74" s="126"/>
      <c r="G74" s="106"/>
      <c r="H74" s="35"/>
      <c r="I74" s="18"/>
      <c r="J74" s="35"/>
      <c r="K74" s="18"/>
      <c r="L74" s="35"/>
      <c r="M74" s="106"/>
      <c r="N74" s="19"/>
      <c r="O74" s="18"/>
      <c r="P74" s="18"/>
      <c r="Q74" s="18"/>
      <c r="R74" s="29"/>
      <c r="S74" s="22"/>
      <c r="T74" s="52"/>
      <c r="U74" s="22"/>
      <c r="V74" s="22"/>
      <c r="W74" s="22"/>
      <c r="X74" s="52"/>
    </row>
    <row r="75" spans="1:24" ht="14.25" customHeight="1">
      <c r="A75" s="97"/>
      <c r="B75" s="107"/>
      <c r="C75" s="95"/>
      <c r="D75" s="95"/>
      <c r="E75" s="108"/>
      <c r="F75" s="128"/>
      <c r="G75" s="39"/>
      <c r="H75" s="35"/>
      <c r="I75" s="17"/>
      <c r="J75" s="35"/>
      <c r="K75" s="17"/>
      <c r="L75" s="35"/>
      <c r="M75" s="17"/>
      <c r="N75" s="19"/>
      <c r="O75" s="18"/>
      <c r="P75" s="18"/>
      <c r="Q75" s="23"/>
      <c r="R75" s="29"/>
      <c r="S75" s="17"/>
      <c r="T75" s="52"/>
      <c r="U75" s="22"/>
      <c r="V75" s="22"/>
      <c r="W75" s="39"/>
      <c r="X75" s="52"/>
    </row>
    <row r="76" spans="1:24" ht="14.25" customHeight="1">
      <c r="A76" s="97"/>
      <c r="B76" s="73"/>
      <c r="C76" s="20"/>
      <c r="D76" s="20"/>
      <c r="E76" s="20"/>
      <c r="F76" s="126"/>
      <c r="G76" s="110"/>
      <c r="H76" s="35"/>
      <c r="I76" s="18"/>
      <c r="J76" s="35"/>
      <c r="K76" s="18"/>
      <c r="L76" s="35"/>
      <c r="M76" s="110"/>
      <c r="N76" s="19"/>
      <c r="O76" s="18"/>
      <c r="P76" s="18"/>
      <c r="Q76" s="110"/>
      <c r="R76" s="29"/>
      <c r="S76" s="22"/>
      <c r="T76" s="52"/>
      <c r="U76" s="22"/>
      <c r="V76" s="22"/>
      <c r="W76" s="39"/>
      <c r="X76" s="52"/>
    </row>
    <row r="77" spans="1:24" ht="14.25" customHeight="1">
      <c r="A77" s="97"/>
      <c r="B77" s="73"/>
      <c r="C77" s="98"/>
      <c r="D77" s="95"/>
      <c r="E77" s="99"/>
      <c r="F77" s="127"/>
      <c r="G77" s="102"/>
      <c r="H77" s="35"/>
      <c r="I77" s="101"/>
      <c r="J77" s="35"/>
      <c r="K77" s="101"/>
      <c r="L77" s="35"/>
      <c r="M77" s="101"/>
      <c r="N77" s="19"/>
      <c r="O77" s="122"/>
      <c r="P77" s="19"/>
      <c r="Q77" s="104"/>
      <c r="R77" s="29"/>
      <c r="S77" s="56"/>
      <c r="T77" s="52"/>
      <c r="U77" s="22"/>
      <c r="V77" s="55"/>
      <c r="W77" s="57"/>
      <c r="X77" s="52"/>
    </row>
    <row r="78" spans="1:24" ht="12.75" customHeight="1">
      <c r="A78" s="97"/>
      <c r="B78" s="73"/>
      <c r="C78" s="20"/>
      <c r="D78" s="20"/>
      <c r="E78" s="105"/>
      <c r="F78" s="126"/>
      <c r="G78" s="106"/>
      <c r="H78" s="35"/>
      <c r="I78" s="18"/>
      <c r="J78" s="35"/>
      <c r="K78" s="18"/>
      <c r="L78" s="35"/>
      <c r="M78" s="106"/>
      <c r="N78" s="19"/>
      <c r="O78" s="18"/>
      <c r="P78" s="18"/>
      <c r="Q78" s="18"/>
      <c r="R78" s="29"/>
      <c r="S78" s="22"/>
      <c r="T78" s="52"/>
      <c r="U78" s="22"/>
      <c r="V78" s="22"/>
      <c r="W78" s="22"/>
      <c r="X78" s="52"/>
    </row>
    <row r="79" spans="1:24" ht="14.25" customHeight="1">
      <c r="A79" s="97"/>
      <c r="B79" s="111"/>
      <c r="C79" s="95"/>
      <c r="D79" s="95"/>
      <c r="E79" s="108"/>
      <c r="F79" s="128"/>
      <c r="G79" s="39"/>
      <c r="H79" s="35"/>
      <c r="I79" s="17"/>
      <c r="J79" s="35"/>
      <c r="K79" s="17"/>
      <c r="L79" s="35"/>
      <c r="M79" s="17"/>
      <c r="N79" s="19"/>
      <c r="O79" s="18"/>
      <c r="P79" s="18"/>
      <c r="Q79" s="23"/>
      <c r="R79" s="29"/>
      <c r="S79" s="17"/>
      <c r="T79" s="52"/>
      <c r="U79" s="22"/>
      <c r="V79" s="22"/>
      <c r="W79" s="39"/>
      <c r="X79" s="52"/>
    </row>
    <row r="80" spans="1:24" ht="14.25" customHeight="1">
      <c r="A80" s="97"/>
      <c r="B80" s="73"/>
      <c r="C80" s="20"/>
      <c r="D80" s="20"/>
      <c r="E80" s="20"/>
      <c r="F80" s="126"/>
      <c r="G80" s="110"/>
      <c r="H80" s="35"/>
      <c r="I80" s="18"/>
      <c r="J80" s="35"/>
      <c r="K80" s="18"/>
      <c r="L80" s="35"/>
      <c r="M80" s="110"/>
      <c r="N80" s="19"/>
      <c r="O80" s="18"/>
      <c r="P80" s="18"/>
      <c r="Q80" s="110"/>
      <c r="R80" s="29"/>
      <c r="S80" s="22"/>
      <c r="T80" s="52"/>
      <c r="U80" s="22"/>
      <c r="V80" s="22"/>
      <c r="W80" s="39"/>
      <c r="X80" s="52"/>
    </row>
    <row r="81" spans="1:24" ht="14.25" customHeight="1">
      <c r="A81" s="97"/>
      <c r="B81" s="73"/>
      <c r="C81" s="98"/>
      <c r="D81" s="95"/>
      <c r="E81" s="99"/>
      <c r="F81" s="127"/>
      <c r="G81" s="102"/>
      <c r="H81" s="35"/>
      <c r="I81" s="101"/>
      <c r="J81" s="35"/>
      <c r="K81" s="101"/>
      <c r="L81" s="35"/>
      <c r="M81" s="101"/>
      <c r="N81" s="19"/>
      <c r="O81" s="122"/>
      <c r="P81" s="19"/>
      <c r="Q81" s="104"/>
      <c r="R81" s="29"/>
      <c r="S81" s="56"/>
      <c r="T81" s="52"/>
      <c r="U81" s="22"/>
      <c r="V81" s="55"/>
      <c r="W81" s="57"/>
      <c r="X81" s="52"/>
    </row>
    <row r="82" spans="1:24" ht="12.75" customHeight="1">
      <c r="A82" s="97"/>
      <c r="B82" s="73"/>
      <c r="C82" s="20"/>
      <c r="D82" s="20"/>
      <c r="E82" s="105"/>
      <c r="F82" s="126"/>
      <c r="G82" s="106"/>
      <c r="H82" s="35"/>
      <c r="I82" s="18"/>
      <c r="J82" s="35"/>
      <c r="K82" s="18"/>
      <c r="L82" s="35"/>
      <c r="M82" s="106"/>
      <c r="N82" s="19"/>
      <c r="O82" s="18"/>
      <c r="P82" s="18"/>
      <c r="Q82" s="18"/>
      <c r="R82" s="29"/>
      <c r="S82" s="22"/>
      <c r="T82" s="52"/>
      <c r="U82" s="22"/>
      <c r="V82" s="22"/>
      <c r="W82" s="22"/>
      <c r="X82" s="52"/>
    </row>
    <row r="83" spans="1:24" ht="14.25" customHeight="1">
      <c r="A83" s="97"/>
      <c r="B83" s="112"/>
      <c r="C83" s="95"/>
      <c r="D83" s="95"/>
      <c r="E83" s="108"/>
      <c r="F83" s="128"/>
      <c r="G83" s="39"/>
      <c r="H83" s="35"/>
      <c r="I83" s="17"/>
      <c r="J83" s="35"/>
      <c r="K83" s="17"/>
      <c r="L83" s="35"/>
      <c r="M83" s="17"/>
      <c r="N83" s="19"/>
      <c r="O83" s="18"/>
      <c r="P83" s="18"/>
      <c r="Q83" s="23"/>
      <c r="R83" s="29"/>
      <c r="S83" s="17"/>
      <c r="T83" s="52"/>
      <c r="U83" s="22"/>
      <c r="V83" s="22"/>
      <c r="W83" s="39"/>
      <c r="X83" s="52"/>
    </row>
    <row r="84" spans="1:24" ht="14.25" customHeight="1">
      <c r="A84" s="97"/>
      <c r="B84" s="73"/>
      <c r="C84" s="20"/>
      <c r="D84" s="20"/>
      <c r="E84" s="20"/>
      <c r="F84" s="126"/>
      <c r="G84" s="110"/>
      <c r="H84" s="35"/>
      <c r="I84" s="18"/>
      <c r="J84" s="35"/>
      <c r="K84" s="18"/>
      <c r="L84" s="35"/>
      <c r="M84" s="110"/>
      <c r="N84" s="19"/>
      <c r="O84" s="18"/>
      <c r="P84" s="18"/>
      <c r="Q84" s="110"/>
      <c r="R84" s="29"/>
      <c r="S84" s="22"/>
      <c r="T84" s="52"/>
      <c r="U84" s="22"/>
      <c r="V84" s="22"/>
      <c r="W84" s="39"/>
      <c r="X84" s="52"/>
    </row>
    <row r="85" spans="1:24" ht="14.25" customHeight="1">
      <c r="A85" s="97"/>
      <c r="B85" s="73"/>
      <c r="C85" s="98"/>
      <c r="D85" s="95"/>
      <c r="E85" s="99"/>
      <c r="F85" s="127"/>
      <c r="G85" s="102"/>
      <c r="H85" s="35"/>
      <c r="I85" s="101"/>
      <c r="J85" s="35"/>
      <c r="K85" s="101"/>
      <c r="L85" s="35"/>
      <c r="M85" s="101"/>
      <c r="N85" s="19"/>
      <c r="O85" s="122"/>
      <c r="P85" s="19"/>
      <c r="Q85" s="104"/>
      <c r="R85" s="29"/>
      <c r="S85" s="56"/>
      <c r="T85" s="52"/>
      <c r="U85" s="22"/>
      <c r="V85" s="55"/>
      <c r="W85" s="57"/>
      <c r="X85" s="52"/>
    </row>
    <row r="86" spans="1:24" ht="12.75" customHeight="1">
      <c r="A86" s="97"/>
      <c r="B86" s="73"/>
      <c r="C86" s="20"/>
      <c r="D86" s="20"/>
      <c r="E86" s="105"/>
      <c r="F86" s="126"/>
      <c r="G86" s="106"/>
      <c r="H86" s="35"/>
      <c r="I86" s="18"/>
      <c r="J86" s="35"/>
      <c r="K86" s="18"/>
      <c r="L86" s="35"/>
      <c r="M86" s="106"/>
      <c r="N86" s="19"/>
      <c r="O86" s="18"/>
      <c r="P86" s="18"/>
      <c r="Q86" s="18"/>
      <c r="R86" s="29"/>
      <c r="S86" s="22"/>
      <c r="T86" s="52"/>
      <c r="U86" s="22"/>
      <c r="V86" s="22"/>
      <c r="W86" s="22"/>
      <c r="X86" s="52"/>
    </row>
    <row r="87" spans="1:24" ht="14.25" customHeight="1">
      <c r="A87" s="97"/>
      <c r="B87" s="81"/>
      <c r="C87" s="95"/>
      <c r="D87" s="95"/>
      <c r="E87" s="108"/>
      <c r="F87" s="128"/>
      <c r="G87" s="39"/>
      <c r="H87" s="35"/>
      <c r="I87" s="17"/>
      <c r="J87" s="35"/>
      <c r="K87" s="17"/>
      <c r="L87" s="35"/>
      <c r="M87" s="17"/>
      <c r="N87" s="19"/>
      <c r="O87" s="18"/>
      <c r="P87" s="18"/>
      <c r="Q87" s="23"/>
      <c r="R87" s="29"/>
      <c r="S87" s="17"/>
      <c r="T87" s="52"/>
      <c r="U87" s="22"/>
      <c r="V87" s="22"/>
      <c r="W87" s="39"/>
      <c r="X87" s="52"/>
    </row>
    <row r="88" spans="1:24" ht="14.25" customHeight="1">
      <c r="A88" s="97"/>
      <c r="B88" s="73"/>
      <c r="C88" s="20"/>
      <c r="D88" s="20"/>
      <c r="E88" s="20"/>
      <c r="F88" s="126"/>
      <c r="G88" s="110"/>
      <c r="H88" s="35"/>
      <c r="I88" s="18"/>
      <c r="J88" s="35"/>
      <c r="K88" s="18"/>
      <c r="L88" s="35"/>
      <c r="M88" s="110"/>
      <c r="N88" s="19"/>
      <c r="O88" s="18"/>
      <c r="P88" s="18"/>
      <c r="Q88" s="110"/>
      <c r="R88" s="29"/>
      <c r="S88" s="22"/>
      <c r="T88" s="52"/>
      <c r="U88" s="22"/>
      <c r="V88" s="22"/>
      <c r="W88" s="39"/>
      <c r="X88" s="52"/>
    </row>
    <row r="89" spans="1:24" ht="14.25" customHeight="1">
      <c r="A89" s="97"/>
      <c r="B89" s="73"/>
      <c r="C89" s="98"/>
      <c r="D89" s="95"/>
      <c r="E89" s="99"/>
      <c r="F89" s="127"/>
      <c r="G89" s="102"/>
      <c r="H89" s="35"/>
      <c r="I89" s="101"/>
      <c r="J89" s="35"/>
      <c r="K89" s="101"/>
      <c r="L89" s="35"/>
      <c r="M89" s="101"/>
      <c r="N89" s="19"/>
      <c r="O89" s="122"/>
      <c r="P89" s="19"/>
      <c r="Q89" s="104"/>
      <c r="R89" s="29"/>
      <c r="S89" s="56"/>
      <c r="T89" s="52"/>
      <c r="U89" s="22"/>
      <c r="V89" s="55"/>
      <c r="W89" s="57"/>
      <c r="X89" s="52"/>
    </row>
    <row r="90" spans="1:24" ht="12.75" customHeight="1">
      <c r="A90" s="97"/>
      <c r="B90" s="73"/>
      <c r="C90" s="20"/>
      <c r="D90" s="20"/>
      <c r="E90" s="105"/>
      <c r="F90" s="126"/>
      <c r="G90" s="106"/>
      <c r="H90" s="35"/>
      <c r="I90" s="18"/>
      <c r="J90" s="35"/>
      <c r="K90" s="18"/>
      <c r="L90" s="35"/>
      <c r="M90" s="106"/>
      <c r="N90" s="19"/>
      <c r="O90" s="18"/>
      <c r="P90" s="18"/>
      <c r="Q90" s="18"/>
      <c r="R90" s="29"/>
      <c r="S90" s="22"/>
      <c r="T90" s="52"/>
      <c r="U90" s="22"/>
      <c r="V90" s="22"/>
      <c r="W90" s="22"/>
      <c r="X90" s="52"/>
    </row>
    <row r="91" spans="1:24" ht="14.25" customHeight="1">
      <c r="A91" s="97"/>
      <c r="B91" s="81"/>
      <c r="C91" s="95"/>
      <c r="D91" s="95"/>
      <c r="E91" s="108"/>
      <c r="F91" s="128"/>
      <c r="G91" s="39"/>
      <c r="H91" s="35"/>
      <c r="I91" s="17"/>
      <c r="J91" s="35"/>
      <c r="K91" s="17"/>
      <c r="L91" s="35"/>
      <c r="M91" s="17"/>
      <c r="N91" s="19"/>
      <c r="O91" s="18"/>
      <c r="P91" s="18"/>
      <c r="Q91" s="23"/>
      <c r="R91" s="29"/>
      <c r="S91" s="17"/>
      <c r="T91" s="52"/>
      <c r="U91" s="22"/>
      <c r="V91" s="22"/>
      <c r="W91" s="39"/>
      <c r="X91" s="52"/>
    </row>
    <row r="92" spans="1:24" ht="14.25" customHeight="1">
      <c r="A92" s="97"/>
      <c r="B92" s="73"/>
      <c r="C92" s="20"/>
      <c r="D92" s="20"/>
      <c r="E92" s="20"/>
      <c r="F92" s="126"/>
      <c r="G92" s="110"/>
      <c r="H92" s="35"/>
      <c r="I92" s="18"/>
      <c r="J92" s="35"/>
      <c r="K92" s="18"/>
      <c r="L92" s="35"/>
      <c r="M92" s="110"/>
      <c r="N92" s="19"/>
      <c r="O92" s="18"/>
      <c r="P92" s="18"/>
      <c r="Q92" s="110"/>
      <c r="R92" s="29"/>
      <c r="S92" s="22"/>
      <c r="T92" s="52"/>
      <c r="U92" s="22"/>
      <c r="V92" s="22"/>
      <c r="W92" s="39"/>
      <c r="X92" s="52"/>
    </row>
    <row r="93" spans="1:24" ht="14.25" customHeight="1">
      <c r="A93" s="97"/>
      <c r="B93" s="73"/>
      <c r="C93" s="98"/>
      <c r="D93" s="95"/>
      <c r="E93" s="99"/>
      <c r="F93" s="127"/>
      <c r="G93" s="102"/>
      <c r="H93" s="35"/>
      <c r="I93" s="101"/>
      <c r="J93" s="35"/>
      <c r="K93" s="101"/>
      <c r="L93" s="35"/>
      <c r="M93" s="101"/>
      <c r="N93" s="19"/>
      <c r="O93" s="122"/>
      <c r="P93" s="19"/>
      <c r="Q93" s="104"/>
      <c r="R93" s="29"/>
      <c r="S93" s="56"/>
      <c r="T93" s="52"/>
      <c r="U93" s="22"/>
      <c r="V93" s="55"/>
      <c r="W93" s="57"/>
      <c r="X93" s="52"/>
    </row>
    <row r="94" spans="1:24" ht="12.75" customHeight="1">
      <c r="A94" s="97"/>
      <c r="B94" s="73"/>
      <c r="C94" s="20"/>
      <c r="D94" s="20"/>
      <c r="E94" s="105"/>
      <c r="F94" s="126"/>
      <c r="G94" s="106"/>
      <c r="H94" s="35"/>
      <c r="I94" s="18"/>
      <c r="J94" s="35"/>
      <c r="K94" s="18"/>
      <c r="L94" s="35"/>
      <c r="M94" s="106"/>
      <c r="N94" s="19"/>
      <c r="O94" s="18"/>
      <c r="P94" s="18"/>
      <c r="Q94" s="18"/>
      <c r="R94" s="29"/>
      <c r="S94" s="22"/>
      <c r="T94" s="52"/>
      <c r="U94" s="22"/>
      <c r="V94" s="22"/>
      <c r="W94" s="22"/>
      <c r="X94" s="52"/>
    </row>
    <row r="95" spans="1:24" ht="14.25" customHeight="1">
      <c r="A95" s="97"/>
      <c r="B95" s="81"/>
      <c r="C95" s="95"/>
      <c r="D95" s="95"/>
      <c r="E95" s="108"/>
      <c r="F95" s="128"/>
      <c r="G95" s="39"/>
      <c r="H95" s="35"/>
      <c r="I95" s="17"/>
      <c r="J95" s="35"/>
      <c r="K95" s="17"/>
      <c r="L95" s="35"/>
      <c r="M95" s="17"/>
      <c r="N95" s="19"/>
      <c r="O95" s="18"/>
      <c r="P95" s="18"/>
      <c r="Q95" s="23"/>
      <c r="R95" s="29"/>
      <c r="S95" s="17"/>
      <c r="T95" s="52"/>
      <c r="U95" s="22"/>
      <c r="V95" s="22"/>
      <c r="W95" s="39"/>
      <c r="X95" s="52"/>
    </row>
    <row r="96" spans="1:24" ht="14.25" customHeight="1">
      <c r="A96" s="97"/>
      <c r="B96" s="81"/>
      <c r="C96" s="20"/>
      <c r="D96" s="20"/>
      <c r="E96" s="20"/>
      <c r="F96" s="126"/>
      <c r="G96" s="110"/>
      <c r="H96" s="35"/>
      <c r="I96" s="18"/>
      <c r="J96" s="35"/>
      <c r="K96" s="18"/>
      <c r="L96" s="35"/>
      <c r="M96" s="110"/>
      <c r="N96" s="19"/>
      <c r="O96" s="18"/>
      <c r="P96" s="18"/>
      <c r="Q96" s="110"/>
      <c r="R96" s="29"/>
      <c r="S96" s="22"/>
      <c r="T96" s="52"/>
      <c r="U96" s="22"/>
      <c r="V96" s="22"/>
      <c r="W96" s="39"/>
      <c r="X96" s="52"/>
    </row>
    <row r="97" spans="1:24" ht="14.25" customHeight="1">
      <c r="A97" s="97"/>
      <c r="B97" s="81"/>
      <c r="C97" s="98"/>
      <c r="D97" s="95"/>
      <c r="E97" s="99"/>
      <c r="F97" s="127"/>
      <c r="G97" s="102"/>
      <c r="H97" s="35"/>
      <c r="I97" s="101"/>
      <c r="J97" s="35"/>
      <c r="K97" s="101"/>
      <c r="L97" s="35"/>
      <c r="M97" s="101"/>
      <c r="N97" s="19"/>
      <c r="O97" s="122"/>
      <c r="P97" s="19"/>
      <c r="Q97" s="104"/>
      <c r="R97" s="29"/>
      <c r="S97" s="56"/>
      <c r="T97" s="52"/>
      <c r="U97" s="22"/>
      <c r="V97" s="55"/>
      <c r="W97" s="57"/>
      <c r="X97" s="52"/>
    </row>
    <row r="98" spans="1:24" ht="12.75" customHeight="1">
      <c r="A98" s="97"/>
      <c r="B98" s="81"/>
      <c r="C98" s="20"/>
      <c r="D98" s="20"/>
      <c r="E98" s="105"/>
      <c r="F98" s="126"/>
      <c r="G98" s="106"/>
      <c r="H98" s="35"/>
      <c r="I98" s="18"/>
      <c r="J98" s="35"/>
      <c r="K98" s="18"/>
      <c r="L98" s="35"/>
      <c r="M98" s="106"/>
      <c r="N98" s="19"/>
      <c r="O98" s="18"/>
      <c r="P98" s="18"/>
      <c r="Q98" s="18"/>
      <c r="R98" s="29"/>
      <c r="S98" s="22"/>
      <c r="T98" s="52"/>
      <c r="U98" s="22"/>
      <c r="V98" s="22"/>
      <c r="W98" s="22"/>
      <c r="X98" s="52"/>
    </row>
    <row r="99" spans="1:24" ht="14.25" customHeight="1">
      <c r="A99" s="97"/>
      <c r="B99" s="81"/>
      <c r="C99" s="95"/>
      <c r="D99" s="95"/>
      <c r="E99" s="108"/>
      <c r="F99" s="128"/>
      <c r="G99" s="39"/>
      <c r="H99" s="35"/>
      <c r="I99" s="17"/>
      <c r="J99" s="35"/>
      <c r="K99" s="17"/>
      <c r="L99" s="35"/>
      <c r="M99" s="17"/>
      <c r="N99" s="19"/>
      <c r="O99" s="18"/>
      <c r="P99" s="18"/>
      <c r="Q99" s="23"/>
      <c r="R99" s="29"/>
      <c r="S99" s="17"/>
      <c r="T99" s="52"/>
      <c r="U99" s="22"/>
      <c r="V99" s="22"/>
      <c r="W99" s="39"/>
      <c r="X99" s="52"/>
    </row>
    <row r="100" spans="1:24" ht="14.25" customHeight="1">
      <c r="A100" s="97"/>
      <c r="B100" s="73"/>
      <c r="C100" s="20"/>
      <c r="D100" s="20"/>
      <c r="E100" s="38"/>
      <c r="F100" s="126"/>
      <c r="G100" s="110"/>
      <c r="H100" s="35"/>
      <c r="I100" s="18"/>
      <c r="J100" s="35"/>
      <c r="K100" s="18"/>
      <c r="L100" s="35"/>
      <c r="M100" s="110"/>
      <c r="N100" s="19"/>
      <c r="O100" s="18"/>
      <c r="P100" s="18"/>
      <c r="Q100" s="110"/>
      <c r="R100" s="29"/>
      <c r="S100" s="22"/>
      <c r="T100" s="52"/>
      <c r="U100" s="22"/>
      <c r="V100" s="22"/>
      <c r="W100" s="39"/>
      <c r="X100" s="52"/>
    </row>
    <row r="101" spans="1:23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:23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1:19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</sheetData>
  <sheetProtection/>
  <printOptions/>
  <pageMargins left="0.2755905511811024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Daniel Njai</cp:lastModifiedBy>
  <cp:lastPrinted>2016-09-24T17:05:31Z</cp:lastPrinted>
  <dcterms:created xsi:type="dcterms:W3CDTF">2006-03-16T22:43:20Z</dcterms:created>
  <dcterms:modified xsi:type="dcterms:W3CDTF">2016-09-24T19:28:58Z</dcterms:modified>
  <cp:category/>
  <cp:version/>
  <cp:contentType/>
  <cp:contentStatus/>
</cp:coreProperties>
</file>